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980" windowHeight="1110"/>
  </bookViews>
  <sheets>
    <sheet name="Смета СН-2012 по гл. 1-5" sheetId="5" r:id="rId1"/>
    <sheet name="Source" sheetId="1" r:id="rId2"/>
    <sheet name="SourceObSm" sheetId="2" r:id="rId3"/>
    <sheet name="SmtRes" sheetId="3" r:id="rId4"/>
    <sheet name="EtalonRes" sheetId="4" r:id="rId5"/>
  </sheets>
  <definedNames>
    <definedName name="_xlnm.Print_Titles" localSheetId="0">'Смета СН-2012 по гл. 1-5'!$33:$33</definedName>
    <definedName name="_xlnm.Print_Area" localSheetId="0">'Смета СН-2012 по гл. 1-5'!$A$3:$K$175</definedName>
  </definedNames>
  <calcPr calcId="145621"/>
</workbook>
</file>

<file path=xl/calcChain.xml><?xml version="1.0" encoding="utf-8"?>
<calcChain xmlns="http://schemas.openxmlformats.org/spreadsheetml/2006/main">
  <c r="P30" i="1" l="1"/>
  <c r="R30" i="1"/>
  <c r="I33" i="1"/>
  <c r="I32" i="1"/>
  <c r="CR30" i="1"/>
  <c r="Q30" i="1" s="1"/>
  <c r="AC30" i="1"/>
  <c r="AD30" i="1"/>
  <c r="AH30" i="1"/>
  <c r="AE30" i="1"/>
  <c r="AF32" i="1"/>
  <c r="AF31" i="1"/>
  <c r="AF30" i="1"/>
  <c r="AF29" i="1"/>
  <c r="AF28" i="1"/>
  <c r="E121" i="5" l="1"/>
  <c r="E118" i="5"/>
  <c r="A21" i="5" l="1"/>
  <c r="A160" i="5" l="1"/>
  <c r="K157" i="5"/>
  <c r="H157" i="5"/>
  <c r="G157" i="5"/>
  <c r="E157" i="5"/>
  <c r="E156" i="5"/>
  <c r="E155" i="5"/>
  <c r="E154" i="5"/>
  <c r="J153" i="5"/>
  <c r="I153" i="5"/>
  <c r="H153" i="5"/>
  <c r="G153" i="5"/>
  <c r="F153" i="5"/>
  <c r="J152" i="5"/>
  <c r="I152" i="5"/>
  <c r="H152" i="5"/>
  <c r="G152" i="5"/>
  <c r="F152" i="5"/>
  <c r="J151" i="5"/>
  <c r="I151" i="5"/>
  <c r="H151" i="5"/>
  <c r="G151" i="5"/>
  <c r="F151" i="5"/>
  <c r="J150" i="5"/>
  <c r="I150" i="5"/>
  <c r="H150" i="5"/>
  <c r="G150" i="5"/>
  <c r="F150" i="5"/>
  <c r="V149" i="5"/>
  <c r="J156" i="5" s="1"/>
  <c r="T149" i="5"/>
  <c r="J155" i="5" s="1"/>
  <c r="R149" i="5"/>
  <c r="J154" i="5" s="1"/>
  <c r="U149" i="5"/>
  <c r="S149" i="5"/>
  <c r="Q149" i="5"/>
  <c r="E149" i="5"/>
  <c r="D149" i="5"/>
  <c r="C149" i="5"/>
  <c r="B149" i="5"/>
  <c r="A149" i="5"/>
  <c r="K147" i="5"/>
  <c r="H147" i="5"/>
  <c r="G147" i="5"/>
  <c r="E147" i="5"/>
  <c r="E146" i="5"/>
  <c r="E145" i="5"/>
  <c r="E144" i="5"/>
  <c r="J143" i="5"/>
  <c r="I143" i="5"/>
  <c r="H143" i="5"/>
  <c r="G143" i="5"/>
  <c r="F143" i="5"/>
  <c r="J142" i="5"/>
  <c r="I142" i="5"/>
  <c r="H142" i="5"/>
  <c r="G142" i="5"/>
  <c r="F142" i="5"/>
  <c r="J141" i="5"/>
  <c r="I141" i="5"/>
  <c r="H141" i="5"/>
  <c r="G141" i="5"/>
  <c r="F141" i="5"/>
  <c r="J140" i="5"/>
  <c r="I140" i="5"/>
  <c r="H140" i="5"/>
  <c r="G140" i="5"/>
  <c r="F140" i="5"/>
  <c r="V139" i="5"/>
  <c r="J146" i="5" s="1"/>
  <c r="T139" i="5"/>
  <c r="J145" i="5" s="1"/>
  <c r="R139" i="5"/>
  <c r="J144" i="5" s="1"/>
  <c r="U139" i="5"/>
  <c r="S139" i="5"/>
  <c r="Q139" i="5"/>
  <c r="E139" i="5"/>
  <c r="D139" i="5"/>
  <c r="C139" i="5"/>
  <c r="B139" i="5"/>
  <c r="A139" i="5"/>
  <c r="K137" i="5"/>
  <c r="H137" i="5"/>
  <c r="G137" i="5"/>
  <c r="E137" i="5"/>
  <c r="E136" i="5"/>
  <c r="E135" i="5"/>
  <c r="E134" i="5"/>
  <c r="J133" i="5"/>
  <c r="I133" i="5"/>
  <c r="H133" i="5"/>
  <c r="G133" i="5"/>
  <c r="F133" i="5"/>
  <c r="J132" i="5"/>
  <c r="I132" i="5"/>
  <c r="H132" i="5"/>
  <c r="G132" i="5"/>
  <c r="F132" i="5"/>
  <c r="J131" i="5"/>
  <c r="I131" i="5"/>
  <c r="H131" i="5"/>
  <c r="G131" i="5"/>
  <c r="F131" i="5"/>
  <c r="J130" i="5"/>
  <c r="I130" i="5"/>
  <c r="H130" i="5"/>
  <c r="G130" i="5"/>
  <c r="F130" i="5"/>
  <c r="V129" i="5"/>
  <c r="J136" i="5" s="1"/>
  <c r="T129" i="5"/>
  <c r="J135" i="5" s="1"/>
  <c r="R129" i="5"/>
  <c r="J134" i="5" s="1"/>
  <c r="U129" i="5"/>
  <c r="S129" i="5"/>
  <c r="Q129" i="5"/>
  <c r="E129" i="5"/>
  <c r="D129" i="5"/>
  <c r="C129" i="5"/>
  <c r="B129" i="5"/>
  <c r="A129" i="5"/>
  <c r="K127" i="5"/>
  <c r="H127" i="5"/>
  <c r="G127" i="5"/>
  <c r="E127" i="5"/>
  <c r="E126" i="5"/>
  <c r="E125" i="5"/>
  <c r="E124" i="5"/>
  <c r="I123" i="5"/>
  <c r="H123" i="5"/>
  <c r="F123" i="5"/>
  <c r="V123" i="5"/>
  <c r="U123" i="5"/>
  <c r="S123" i="5"/>
  <c r="Q123" i="5"/>
  <c r="E123" i="5"/>
  <c r="D123" i="5"/>
  <c r="C123" i="5"/>
  <c r="B123" i="5"/>
  <c r="A123" i="5"/>
  <c r="I122" i="5"/>
  <c r="H122" i="5"/>
  <c r="F122" i="5"/>
  <c r="V122" i="5"/>
  <c r="U122" i="5"/>
  <c r="S122" i="5"/>
  <c r="Q122" i="5"/>
  <c r="E122" i="5"/>
  <c r="D122" i="5"/>
  <c r="C122" i="5"/>
  <c r="B122" i="5"/>
  <c r="A122" i="5"/>
  <c r="I121" i="5"/>
  <c r="H121" i="5"/>
  <c r="F121" i="5"/>
  <c r="V121" i="5"/>
  <c r="U121" i="5"/>
  <c r="S121" i="5"/>
  <c r="Q121" i="5"/>
  <c r="D121" i="5"/>
  <c r="C121" i="5"/>
  <c r="B121" i="5"/>
  <c r="A121" i="5"/>
  <c r="I120" i="5"/>
  <c r="H120" i="5"/>
  <c r="F120" i="5"/>
  <c r="V120" i="5"/>
  <c r="U120" i="5"/>
  <c r="S120" i="5"/>
  <c r="Q120" i="5"/>
  <c r="E120" i="5"/>
  <c r="D120" i="5"/>
  <c r="C120" i="5"/>
  <c r="B120" i="5"/>
  <c r="A120" i="5"/>
  <c r="I119" i="5"/>
  <c r="H119" i="5"/>
  <c r="F119" i="5"/>
  <c r="V119" i="5"/>
  <c r="U119" i="5"/>
  <c r="S119" i="5"/>
  <c r="Q119" i="5"/>
  <c r="E119" i="5"/>
  <c r="D119" i="5"/>
  <c r="C119" i="5"/>
  <c r="B119" i="5"/>
  <c r="A119" i="5"/>
  <c r="I118" i="5"/>
  <c r="H118" i="5"/>
  <c r="F118" i="5"/>
  <c r="V118" i="5"/>
  <c r="U118" i="5"/>
  <c r="S118" i="5"/>
  <c r="Q118" i="5"/>
  <c r="D118" i="5"/>
  <c r="C118" i="5"/>
  <c r="B118" i="5"/>
  <c r="A118" i="5"/>
  <c r="J117" i="5"/>
  <c r="I117" i="5"/>
  <c r="H117" i="5"/>
  <c r="G117" i="5"/>
  <c r="F117" i="5"/>
  <c r="J116" i="5"/>
  <c r="I116" i="5"/>
  <c r="H116" i="5"/>
  <c r="G116" i="5"/>
  <c r="F116" i="5"/>
  <c r="J115" i="5"/>
  <c r="I115" i="5"/>
  <c r="H115" i="5"/>
  <c r="G115" i="5"/>
  <c r="F115" i="5"/>
  <c r="J114" i="5"/>
  <c r="I114" i="5"/>
  <c r="H114" i="5"/>
  <c r="G114" i="5"/>
  <c r="F114" i="5"/>
  <c r="V113" i="5"/>
  <c r="T113" i="5"/>
  <c r="R113" i="5"/>
  <c r="U113" i="5"/>
  <c r="S113" i="5"/>
  <c r="Q113" i="5"/>
  <c r="E113" i="5"/>
  <c r="D113" i="5"/>
  <c r="C113" i="5"/>
  <c r="B113" i="5"/>
  <c r="A113" i="5"/>
  <c r="K111" i="5"/>
  <c r="H111" i="5"/>
  <c r="G111" i="5"/>
  <c r="E111" i="5"/>
  <c r="E110" i="5"/>
  <c r="E109" i="5"/>
  <c r="E108" i="5"/>
  <c r="J107" i="5"/>
  <c r="I107" i="5"/>
  <c r="H107" i="5"/>
  <c r="G107" i="5"/>
  <c r="F107" i="5"/>
  <c r="J106" i="5"/>
  <c r="I106" i="5"/>
  <c r="H106" i="5"/>
  <c r="G106" i="5"/>
  <c r="F106" i="5"/>
  <c r="J105" i="5"/>
  <c r="I105" i="5"/>
  <c r="H105" i="5"/>
  <c r="G105" i="5"/>
  <c r="F105" i="5"/>
  <c r="J104" i="5"/>
  <c r="I104" i="5"/>
  <c r="H104" i="5"/>
  <c r="G104" i="5"/>
  <c r="F104" i="5"/>
  <c r="V103" i="5"/>
  <c r="J110" i="5" s="1"/>
  <c r="T103" i="5"/>
  <c r="J109" i="5" s="1"/>
  <c r="R103" i="5"/>
  <c r="J108" i="5" s="1"/>
  <c r="U103" i="5"/>
  <c r="S103" i="5"/>
  <c r="Q103" i="5"/>
  <c r="E103" i="5"/>
  <c r="D103" i="5"/>
  <c r="C103" i="5"/>
  <c r="B103" i="5"/>
  <c r="A103" i="5"/>
  <c r="K101" i="5"/>
  <c r="H101" i="5"/>
  <c r="G101" i="5"/>
  <c r="E101" i="5"/>
  <c r="E100" i="5"/>
  <c r="E99" i="5"/>
  <c r="E98" i="5"/>
  <c r="J97" i="5"/>
  <c r="I97" i="5"/>
  <c r="H97" i="5"/>
  <c r="G97" i="5"/>
  <c r="F97" i="5"/>
  <c r="J96" i="5"/>
  <c r="I96" i="5"/>
  <c r="H96" i="5"/>
  <c r="G96" i="5"/>
  <c r="F96" i="5"/>
  <c r="J95" i="5"/>
  <c r="I95" i="5"/>
  <c r="H95" i="5"/>
  <c r="G95" i="5"/>
  <c r="F95" i="5"/>
  <c r="J94" i="5"/>
  <c r="I94" i="5"/>
  <c r="H94" i="5"/>
  <c r="G94" i="5"/>
  <c r="F94" i="5"/>
  <c r="V93" i="5"/>
  <c r="J100" i="5" s="1"/>
  <c r="T93" i="5"/>
  <c r="J99" i="5" s="1"/>
  <c r="R93" i="5"/>
  <c r="J98" i="5" s="1"/>
  <c r="U93" i="5"/>
  <c r="S93" i="5"/>
  <c r="Q93" i="5"/>
  <c r="E93" i="5"/>
  <c r="D93" i="5"/>
  <c r="C93" i="5"/>
  <c r="B93" i="5"/>
  <c r="A93" i="5"/>
  <c r="K91" i="5"/>
  <c r="H91" i="5"/>
  <c r="G91" i="5"/>
  <c r="E91" i="5"/>
  <c r="E90" i="5"/>
  <c r="E89" i="5"/>
  <c r="E88" i="5"/>
  <c r="J87" i="5"/>
  <c r="I87" i="5"/>
  <c r="H87" i="5"/>
  <c r="G87" i="5"/>
  <c r="F87" i="5"/>
  <c r="J86" i="5"/>
  <c r="I86" i="5"/>
  <c r="H86" i="5"/>
  <c r="G86" i="5"/>
  <c r="F86" i="5"/>
  <c r="J85" i="5"/>
  <c r="I85" i="5"/>
  <c r="H85" i="5"/>
  <c r="G85" i="5"/>
  <c r="F85" i="5"/>
  <c r="J84" i="5"/>
  <c r="I84" i="5"/>
  <c r="H84" i="5"/>
  <c r="G84" i="5"/>
  <c r="F84" i="5"/>
  <c r="V83" i="5"/>
  <c r="J90" i="5" s="1"/>
  <c r="T83" i="5"/>
  <c r="J89" i="5" s="1"/>
  <c r="R83" i="5"/>
  <c r="J88" i="5" s="1"/>
  <c r="U83" i="5"/>
  <c r="S83" i="5"/>
  <c r="Q83" i="5"/>
  <c r="E83" i="5"/>
  <c r="D83" i="5"/>
  <c r="C83" i="5"/>
  <c r="B83" i="5"/>
  <c r="A83" i="5"/>
  <c r="A82" i="5"/>
  <c r="A79" i="5"/>
  <c r="K76" i="5"/>
  <c r="H76" i="5"/>
  <c r="G76" i="5"/>
  <c r="E76" i="5"/>
  <c r="E75" i="5"/>
  <c r="E74" i="5"/>
  <c r="E73" i="5"/>
  <c r="I72" i="5"/>
  <c r="H72" i="5"/>
  <c r="F72" i="5"/>
  <c r="V72" i="5"/>
  <c r="U72" i="5"/>
  <c r="S72" i="5"/>
  <c r="Q72" i="5"/>
  <c r="E72" i="5"/>
  <c r="D72" i="5"/>
  <c r="C72" i="5"/>
  <c r="B72" i="5"/>
  <c r="A72" i="5"/>
  <c r="I71" i="5"/>
  <c r="H71" i="5"/>
  <c r="F71" i="5"/>
  <c r="V71" i="5"/>
  <c r="U71" i="5"/>
  <c r="S71" i="5"/>
  <c r="Q71" i="5"/>
  <c r="E71" i="5"/>
  <c r="D71" i="5"/>
  <c r="C71" i="5"/>
  <c r="B71" i="5"/>
  <c r="A71" i="5"/>
  <c r="J70" i="5"/>
  <c r="I70" i="5"/>
  <c r="H70" i="5"/>
  <c r="G70" i="5"/>
  <c r="F70" i="5"/>
  <c r="J69" i="5"/>
  <c r="I69" i="5"/>
  <c r="H69" i="5"/>
  <c r="G69" i="5"/>
  <c r="F69" i="5"/>
  <c r="J68" i="5"/>
  <c r="I68" i="5"/>
  <c r="H68" i="5"/>
  <c r="G68" i="5"/>
  <c r="F68" i="5"/>
  <c r="I67" i="5"/>
  <c r="H67" i="5"/>
  <c r="G67" i="5"/>
  <c r="F67" i="5"/>
  <c r="V66" i="5"/>
  <c r="U66" i="5"/>
  <c r="S66" i="5"/>
  <c r="Q66" i="5"/>
  <c r="E66" i="5"/>
  <c r="D66" i="5"/>
  <c r="C66" i="5"/>
  <c r="B66" i="5"/>
  <c r="A66" i="5"/>
  <c r="H64" i="5"/>
  <c r="G64" i="5"/>
  <c r="E64" i="5"/>
  <c r="E63" i="5"/>
  <c r="E62" i="5"/>
  <c r="E61" i="5"/>
  <c r="I60" i="5"/>
  <c r="H60" i="5"/>
  <c r="G60" i="5"/>
  <c r="F60" i="5"/>
  <c r="I59" i="5"/>
  <c r="H59" i="5"/>
  <c r="G59" i="5"/>
  <c r="F59" i="5"/>
  <c r="I58" i="5"/>
  <c r="H58" i="5"/>
  <c r="G58" i="5"/>
  <c r="F58" i="5"/>
  <c r="I57" i="5"/>
  <c r="H57" i="5"/>
  <c r="G57" i="5"/>
  <c r="F57" i="5"/>
  <c r="U56" i="5"/>
  <c r="S56" i="5"/>
  <c r="Q56" i="5"/>
  <c r="E56" i="5"/>
  <c r="D56" i="5"/>
  <c r="C56" i="5"/>
  <c r="B56" i="5"/>
  <c r="A56" i="5"/>
  <c r="K54" i="5"/>
  <c r="H54" i="5"/>
  <c r="G54" i="5"/>
  <c r="E54" i="5"/>
  <c r="E53" i="5"/>
  <c r="E52" i="5"/>
  <c r="E51" i="5"/>
  <c r="J50" i="5"/>
  <c r="I50" i="5"/>
  <c r="H50" i="5"/>
  <c r="G50" i="5"/>
  <c r="F50" i="5"/>
  <c r="J49" i="5"/>
  <c r="I49" i="5"/>
  <c r="H49" i="5"/>
  <c r="G49" i="5"/>
  <c r="F49" i="5"/>
  <c r="J48" i="5"/>
  <c r="I48" i="5"/>
  <c r="H48" i="5"/>
  <c r="G48" i="5"/>
  <c r="F48" i="5"/>
  <c r="I47" i="5"/>
  <c r="H47" i="5"/>
  <c r="G47" i="5"/>
  <c r="F47" i="5"/>
  <c r="V46" i="5"/>
  <c r="J53" i="5" s="1"/>
  <c r="U46" i="5"/>
  <c r="S46" i="5"/>
  <c r="Q46" i="5"/>
  <c r="E46" i="5"/>
  <c r="D46" i="5"/>
  <c r="C46" i="5"/>
  <c r="B46" i="5"/>
  <c r="A46" i="5"/>
  <c r="K44" i="5"/>
  <c r="H44" i="5"/>
  <c r="G44" i="5"/>
  <c r="E44" i="5"/>
  <c r="E43" i="5"/>
  <c r="E42" i="5"/>
  <c r="E41" i="5"/>
  <c r="J40" i="5"/>
  <c r="I40" i="5"/>
  <c r="H40" i="5"/>
  <c r="G40" i="5"/>
  <c r="F40" i="5"/>
  <c r="J39" i="5"/>
  <c r="I39" i="5"/>
  <c r="H39" i="5"/>
  <c r="G39" i="5"/>
  <c r="F39" i="5"/>
  <c r="J38" i="5"/>
  <c r="I38" i="5"/>
  <c r="H38" i="5"/>
  <c r="G38" i="5"/>
  <c r="F38" i="5"/>
  <c r="I37" i="5"/>
  <c r="H37" i="5"/>
  <c r="G37" i="5"/>
  <c r="F37" i="5"/>
  <c r="V36" i="5"/>
  <c r="J43" i="5" s="1"/>
  <c r="U36" i="5"/>
  <c r="S36" i="5"/>
  <c r="Q36" i="5"/>
  <c r="E36" i="5"/>
  <c r="D36" i="5"/>
  <c r="C36" i="5"/>
  <c r="B36" i="5"/>
  <c r="A36" i="5"/>
  <c r="A35" i="5"/>
  <c r="A16" i="5"/>
  <c r="A13" i="5"/>
  <c r="G9" i="5"/>
  <c r="B9" i="5"/>
  <c r="I102" i="5" l="1"/>
  <c r="P102" i="5" s="1"/>
  <c r="I92" i="5"/>
  <c r="I112" i="5"/>
  <c r="I138" i="5"/>
  <c r="I158" i="5"/>
  <c r="I148" i="5"/>
  <c r="A1" i="4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1" i="3"/>
  <c r="CX1" i="3"/>
  <c r="CY1" i="3"/>
  <c r="CZ1" i="3"/>
  <c r="DA1" i="3"/>
  <c r="A2" i="3"/>
  <c r="CX2" i="3"/>
  <c r="CY2" i="3"/>
  <c r="CZ2" i="3"/>
  <c r="DA2" i="3"/>
  <c r="A3" i="3"/>
  <c r="CY3" i="3"/>
  <c r="CZ3" i="3"/>
  <c r="DA3" i="3"/>
  <c r="A4" i="3"/>
  <c r="CY4" i="3"/>
  <c r="CZ4" i="3"/>
  <c r="DA4" i="3"/>
  <c r="A5" i="3"/>
  <c r="CY5" i="3"/>
  <c r="CZ5" i="3"/>
  <c r="DA5" i="3"/>
  <c r="A6" i="3"/>
  <c r="CX6" i="3"/>
  <c r="CY6" i="3"/>
  <c r="CZ6" i="3"/>
  <c r="DA6" i="3"/>
  <c r="A7" i="3"/>
  <c r="CX7" i="3"/>
  <c r="CY7" i="3"/>
  <c r="CZ7" i="3"/>
  <c r="DA7" i="3"/>
  <c r="A8" i="3"/>
  <c r="CX8" i="3"/>
  <c r="CY8" i="3"/>
  <c r="CZ8" i="3"/>
  <c r="DA8" i="3"/>
  <c r="A9" i="3"/>
  <c r="CX9" i="3"/>
  <c r="CY9" i="3"/>
  <c r="CZ9" i="3"/>
  <c r="DA9" i="3"/>
  <c r="A10" i="3"/>
  <c r="CX10" i="3"/>
  <c r="CY10" i="3"/>
  <c r="CZ10" i="3"/>
  <c r="DA10" i="3"/>
  <c r="A11" i="3"/>
  <c r="CX11" i="3"/>
  <c r="CY11" i="3"/>
  <c r="CZ11" i="3"/>
  <c r="DA11" i="3"/>
  <c r="A12" i="3"/>
  <c r="CX12" i="3"/>
  <c r="CY12" i="3"/>
  <c r="CZ12" i="3"/>
  <c r="DA12" i="3"/>
  <c r="A13" i="3"/>
  <c r="CX13" i="3"/>
  <c r="CY13" i="3"/>
  <c r="CZ13" i="3"/>
  <c r="DA13" i="3"/>
  <c r="A14" i="3"/>
  <c r="CX14" i="3"/>
  <c r="CY14" i="3"/>
  <c r="CZ14" i="3"/>
  <c r="DA14" i="3"/>
  <c r="A15" i="3"/>
  <c r="CY15" i="3"/>
  <c r="CZ15" i="3"/>
  <c r="DA15" i="3"/>
  <c r="A16" i="3"/>
  <c r="CY16" i="3"/>
  <c r="CZ16" i="3"/>
  <c r="DA16" i="3"/>
  <c r="A17" i="3"/>
  <c r="CY17" i="3"/>
  <c r="CZ17" i="3"/>
  <c r="DA17" i="3"/>
  <c r="A18" i="3"/>
  <c r="CY18" i="3"/>
  <c r="CZ18" i="3"/>
  <c r="DA18" i="3"/>
  <c r="A19" i="3"/>
  <c r="CX19" i="3"/>
  <c r="CY19" i="3"/>
  <c r="CZ19" i="3"/>
  <c r="DA19" i="3"/>
  <c r="A20" i="3"/>
  <c r="CX20" i="3"/>
  <c r="CY20" i="3"/>
  <c r="CZ20" i="3"/>
  <c r="DA20" i="3"/>
  <c r="A21" i="3"/>
  <c r="CX21" i="3"/>
  <c r="CY21" i="3"/>
  <c r="CZ21" i="3"/>
  <c r="DA21" i="3"/>
  <c r="A22" i="3"/>
  <c r="CX22" i="3"/>
  <c r="CY22" i="3"/>
  <c r="CZ22" i="3"/>
  <c r="DA22" i="3"/>
  <c r="A23" i="3"/>
  <c r="CX23" i="3"/>
  <c r="CY23" i="3"/>
  <c r="CZ23" i="3"/>
  <c r="DA23" i="3"/>
  <c r="A24" i="3"/>
  <c r="CX24" i="3"/>
  <c r="CY24" i="3"/>
  <c r="CZ24" i="3"/>
  <c r="DA24" i="3"/>
  <c r="A25" i="3"/>
  <c r="CY25" i="3"/>
  <c r="CZ25" i="3"/>
  <c r="DA25" i="3"/>
  <c r="A26" i="3"/>
  <c r="CY26" i="3"/>
  <c r="CZ26" i="3"/>
  <c r="DA26" i="3"/>
  <c r="A27" i="3"/>
  <c r="CY27" i="3"/>
  <c r="CZ27" i="3"/>
  <c r="DA27" i="3"/>
  <c r="A28" i="3"/>
  <c r="CY28" i="3"/>
  <c r="CZ28" i="3"/>
  <c r="DA28" i="3"/>
  <c r="A29" i="3"/>
  <c r="CY29" i="3"/>
  <c r="CZ29" i="3"/>
  <c r="DA29" i="3"/>
  <c r="A30" i="3"/>
  <c r="CY30" i="3"/>
  <c r="CZ30" i="3"/>
  <c r="DA30" i="3"/>
  <c r="A31" i="3"/>
  <c r="CY31" i="3"/>
  <c r="CZ31" i="3"/>
  <c r="DA31" i="3"/>
  <c r="A32" i="3"/>
  <c r="CY32" i="3"/>
  <c r="CZ32" i="3"/>
  <c r="DA32" i="3"/>
  <c r="A33" i="3"/>
  <c r="CX33" i="3"/>
  <c r="CY33" i="3"/>
  <c r="CZ33" i="3"/>
  <c r="DA33" i="3"/>
  <c r="D12" i="1"/>
  <c r="E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D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E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BD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D24" i="1"/>
  <c r="D26" i="1"/>
  <c r="E26" i="1"/>
  <c r="Z26" i="1"/>
  <c r="AA26" i="1"/>
  <c r="AM26" i="1"/>
  <c r="AN26" i="1"/>
  <c r="BD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CM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EC26" i="1"/>
  <c r="ED26" i="1"/>
  <c r="EE26" i="1"/>
  <c r="EF26" i="1"/>
  <c r="EG26" i="1"/>
  <c r="EH26" i="1"/>
  <c r="EI26" i="1"/>
  <c r="EJ26" i="1"/>
  <c r="EK26" i="1"/>
  <c r="EL26" i="1"/>
  <c r="EM26" i="1"/>
  <c r="EN26" i="1"/>
  <c r="EO26" i="1"/>
  <c r="EP26" i="1"/>
  <c r="EQ26" i="1"/>
  <c r="ER26" i="1"/>
  <c r="ES26" i="1"/>
  <c r="ET26" i="1"/>
  <c r="EU26" i="1"/>
  <c r="EV26" i="1"/>
  <c r="EW26" i="1"/>
  <c r="EX26" i="1"/>
  <c r="EY26" i="1"/>
  <c r="EZ26" i="1"/>
  <c r="FA26" i="1"/>
  <c r="FB26" i="1"/>
  <c r="FC26" i="1"/>
  <c r="FD26" i="1"/>
  <c r="FE26" i="1"/>
  <c r="FF26" i="1"/>
  <c r="FG26" i="1"/>
  <c r="FH26" i="1"/>
  <c r="FI26" i="1"/>
  <c r="FJ26" i="1"/>
  <c r="FK26" i="1"/>
  <c r="FL26" i="1"/>
  <c r="FM26" i="1"/>
  <c r="FN26" i="1"/>
  <c r="FO26" i="1"/>
  <c r="FP26" i="1"/>
  <c r="FQ26" i="1"/>
  <c r="FR26" i="1"/>
  <c r="FS26" i="1"/>
  <c r="FT26" i="1"/>
  <c r="FU26" i="1"/>
  <c r="FV26" i="1"/>
  <c r="FW26" i="1"/>
  <c r="FX26" i="1"/>
  <c r="FY26" i="1"/>
  <c r="FZ26" i="1"/>
  <c r="GA26" i="1"/>
  <c r="GB26" i="1"/>
  <c r="GC26" i="1"/>
  <c r="GD26" i="1"/>
  <c r="GE26" i="1"/>
  <c r="GF26" i="1"/>
  <c r="GG26" i="1"/>
  <c r="GH26" i="1"/>
  <c r="GI26" i="1"/>
  <c r="GJ26" i="1"/>
  <c r="GK26" i="1"/>
  <c r="GL26" i="1"/>
  <c r="GM26" i="1"/>
  <c r="GN26" i="1"/>
  <c r="GO26" i="1"/>
  <c r="GP26" i="1"/>
  <c r="GQ26" i="1"/>
  <c r="GR26" i="1"/>
  <c r="GS26" i="1"/>
  <c r="GT26" i="1"/>
  <c r="GU26" i="1"/>
  <c r="GV26" i="1"/>
  <c r="GW26" i="1"/>
  <c r="GX26" i="1"/>
  <c r="C28" i="1"/>
  <c r="D28" i="1"/>
  <c r="AC28" i="1"/>
  <c r="AE28" i="1"/>
  <c r="CR28" i="1" s="1"/>
  <c r="Q28" i="1" s="1"/>
  <c r="AG28" i="1"/>
  <c r="CU28" i="1" s="1"/>
  <c r="T28" i="1" s="1"/>
  <c r="AH28" i="1"/>
  <c r="AI28" i="1"/>
  <c r="CW28" i="1" s="1"/>
  <c r="V28" i="1" s="1"/>
  <c r="AJ28" i="1"/>
  <c r="CT28" i="1"/>
  <c r="S28" i="1" s="1"/>
  <c r="J37" i="5" s="1"/>
  <c r="CV28" i="1"/>
  <c r="U28" i="1" s="1"/>
  <c r="CX28" i="1"/>
  <c r="W28" i="1" s="1"/>
  <c r="FR28" i="1"/>
  <c r="GL28" i="1"/>
  <c r="GN28" i="1"/>
  <c r="GO28" i="1"/>
  <c r="GV28" i="1"/>
  <c r="GX28" i="1" s="1"/>
  <c r="C29" i="1"/>
  <c r="D29" i="1"/>
  <c r="I29" i="1"/>
  <c r="AC29" i="1"/>
  <c r="CQ29" i="1" s="1"/>
  <c r="P29" i="1" s="1"/>
  <c r="AD29" i="1"/>
  <c r="AE29" i="1"/>
  <c r="CT29" i="1"/>
  <c r="AG29" i="1"/>
  <c r="CU29" i="1" s="1"/>
  <c r="T29" i="1" s="1"/>
  <c r="AH29" i="1"/>
  <c r="CV29" i="1" s="1"/>
  <c r="AI29" i="1"/>
  <c r="AJ29" i="1"/>
  <c r="CX29" i="1" s="1"/>
  <c r="CR29" i="1"/>
  <c r="Q29" i="1" s="1"/>
  <c r="CS29" i="1"/>
  <c r="R29" i="1" s="1"/>
  <c r="GK29" i="1" s="1"/>
  <c r="CW29" i="1"/>
  <c r="V29" i="1" s="1"/>
  <c r="FR29" i="1"/>
  <c r="GL29" i="1"/>
  <c r="GN29" i="1"/>
  <c r="GO29" i="1"/>
  <c r="GV29" i="1"/>
  <c r="GX29" i="1"/>
  <c r="C30" i="1"/>
  <c r="D30" i="1"/>
  <c r="I30" i="1"/>
  <c r="CX3" i="3" s="1"/>
  <c r="AG30" i="1"/>
  <c r="CU30" i="1" s="1"/>
  <c r="T30" i="1" s="1"/>
  <c r="AI30" i="1"/>
  <c r="CW30" i="1" s="1"/>
  <c r="V30" i="1" s="1"/>
  <c r="AJ30" i="1"/>
  <c r="J58" i="5"/>
  <c r="CT30" i="1"/>
  <c r="S30" i="1" s="1"/>
  <c r="J57" i="5" s="1"/>
  <c r="CV30" i="1"/>
  <c r="U30" i="1" s="1"/>
  <c r="K64" i="5" s="1"/>
  <c r="CX30" i="1"/>
  <c r="W30" i="1" s="1"/>
  <c r="FR30" i="1"/>
  <c r="GL30" i="1"/>
  <c r="GN30" i="1"/>
  <c r="GO30" i="1"/>
  <c r="GV30" i="1"/>
  <c r="GX30" i="1" s="1"/>
  <c r="C31" i="1"/>
  <c r="AC31" i="1"/>
  <c r="AD31" i="1"/>
  <c r="AE31" i="1"/>
  <c r="CT31" i="1"/>
  <c r="S31" i="1" s="1"/>
  <c r="J67" i="5" s="1"/>
  <c r="AG31" i="1"/>
  <c r="AH31" i="1"/>
  <c r="CV31" i="1" s="1"/>
  <c r="U31" i="1" s="1"/>
  <c r="AI31" i="1"/>
  <c r="AJ31" i="1"/>
  <c r="CX31" i="1" s="1"/>
  <c r="W31" i="1" s="1"/>
  <c r="CQ31" i="1"/>
  <c r="P31" i="1" s="1"/>
  <c r="CR31" i="1"/>
  <c r="Q31" i="1" s="1"/>
  <c r="CS31" i="1"/>
  <c r="R31" i="1" s="1"/>
  <c r="GK31" i="1" s="1"/>
  <c r="CU31" i="1"/>
  <c r="T31" i="1" s="1"/>
  <c r="CW31" i="1"/>
  <c r="V31" i="1" s="1"/>
  <c r="FR31" i="1"/>
  <c r="GL31" i="1"/>
  <c r="GN31" i="1"/>
  <c r="GO31" i="1"/>
  <c r="GV31" i="1"/>
  <c r="GX31" i="1"/>
  <c r="AC32" i="1"/>
  <c r="AE32" i="1"/>
  <c r="CR32" i="1" s="1"/>
  <c r="Q32" i="1" s="1"/>
  <c r="AG32" i="1"/>
  <c r="CU32" i="1" s="1"/>
  <c r="T32" i="1" s="1"/>
  <c r="AH32" i="1"/>
  <c r="AI32" i="1"/>
  <c r="CW32" i="1" s="1"/>
  <c r="V32" i="1" s="1"/>
  <c r="AJ32" i="1"/>
  <c r="CT32" i="1"/>
  <c r="S32" i="1" s="1"/>
  <c r="CV32" i="1"/>
  <c r="U32" i="1" s="1"/>
  <c r="CX32" i="1"/>
  <c r="W32" i="1" s="1"/>
  <c r="FR32" i="1"/>
  <c r="GL32" i="1"/>
  <c r="GN32" i="1"/>
  <c r="GO32" i="1"/>
  <c r="GV32" i="1"/>
  <c r="GX32" i="1" s="1"/>
  <c r="P33" i="1"/>
  <c r="T33" i="1"/>
  <c r="AC33" i="1"/>
  <c r="AD33" i="1"/>
  <c r="AB33" i="1" s="1"/>
  <c r="AE33" i="1"/>
  <c r="AF33" i="1"/>
  <c r="CT33" i="1" s="1"/>
  <c r="S33" i="1" s="1"/>
  <c r="CZ33" i="1" s="1"/>
  <c r="Y33" i="1" s="1"/>
  <c r="T72" i="5" s="1"/>
  <c r="AG33" i="1"/>
  <c r="AH33" i="1"/>
  <c r="CV33" i="1" s="1"/>
  <c r="U33" i="1" s="1"/>
  <c r="AI33" i="1"/>
  <c r="AJ33" i="1"/>
  <c r="CX33" i="1" s="1"/>
  <c r="W33" i="1" s="1"/>
  <c r="CQ33" i="1"/>
  <c r="CR33" i="1"/>
  <c r="Q33" i="1" s="1"/>
  <c r="CS33" i="1"/>
  <c r="R33" i="1" s="1"/>
  <c r="GK33" i="1" s="1"/>
  <c r="CU33" i="1"/>
  <c r="CW33" i="1"/>
  <c r="V33" i="1" s="1"/>
  <c r="FR33" i="1"/>
  <c r="GL33" i="1"/>
  <c r="GN33" i="1"/>
  <c r="GO33" i="1"/>
  <c r="GV33" i="1"/>
  <c r="GX33" i="1"/>
  <c r="B35" i="1"/>
  <c r="B26" i="1" s="1"/>
  <c r="C35" i="1"/>
  <c r="C26" i="1" s="1"/>
  <c r="D35" i="1"/>
  <c r="F35" i="1"/>
  <c r="F26" i="1" s="1"/>
  <c r="G35" i="1"/>
  <c r="G26" i="1" s="1"/>
  <c r="BX35" i="1"/>
  <c r="CK35" i="1"/>
  <c r="CL35" i="1"/>
  <c r="CL26" i="1" s="1"/>
  <c r="D64" i="1"/>
  <c r="E66" i="1"/>
  <c r="Z66" i="1"/>
  <c r="AA66" i="1"/>
  <c r="AM66" i="1"/>
  <c r="AN66" i="1"/>
  <c r="BD66" i="1"/>
  <c r="BE66" i="1"/>
  <c r="BF66" i="1"/>
  <c r="BG66" i="1"/>
  <c r="BH66" i="1"/>
  <c r="BI66" i="1"/>
  <c r="BJ66" i="1"/>
  <c r="BK66" i="1"/>
  <c r="BL66" i="1"/>
  <c r="BM66" i="1"/>
  <c r="BN66" i="1"/>
  <c r="BO66" i="1"/>
  <c r="BP66" i="1"/>
  <c r="BQ66" i="1"/>
  <c r="BR66" i="1"/>
  <c r="BS66" i="1"/>
  <c r="BT66" i="1"/>
  <c r="BU66" i="1"/>
  <c r="BV66" i="1"/>
  <c r="BW66" i="1"/>
  <c r="CM66" i="1"/>
  <c r="CN66" i="1"/>
  <c r="CO66" i="1"/>
  <c r="CP66" i="1"/>
  <c r="CQ66" i="1"/>
  <c r="CR66" i="1"/>
  <c r="CS66" i="1"/>
  <c r="CT66" i="1"/>
  <c r="CU66" i="1"/>
  <c r="CV66" i="1"/>
  <c r="CW66" i="1"/>
  <c r="CX66" i="1"/>
  <c r="CY66" i="1"/>
  <c r="CZ66" i="1"/>
  <c r="DA66" i="1"/>
  <c r="DB66" i="1"/>
  <c r="DC66" i="1"/>
  <c r="DD66" i="1"/>
  <c r="DE66" i="1"/>
  <c r="DF66" i="1"/>
  <c r="DG66" i="1"/>
  <c r="DH66" i="1"/>
  <c r="DI66" i="1"/>
  <c r="DJ66" i="1"/>
  <c r="DK66" i="1"/>
  <c r="DL66" i="1"/>
  <c r="DM66" i="1"/>
  <c r="DN66" i="1"/>
  <c r="DO66" i="1"/>
  <c r="DP66" i="1"/>
  <c r="DQ66" i="1"/>
  <c r="DR66" i="1"/>
  <c r="DS66" i="1"/>
  <c r="DT66" i="1"/>
  <c r="DU66" i="1"/>
  <c r="DV66" i="1"/>
  <c r="DW66" i="1"/>
  <c r="DX66" i="1"/>
  <c r="DY66" i="1"/>
  <c r="DZ66" i="1"/>
  <c r="EA66" i="1"/>
  <c r="EB66" i="1"/>
  <c r="EC66" i="1"/>
  <c r="ED66" i="1"/>
  <c r="EE66" i="1"/>
  <c r="EF66" i="1"/>
  <c r="EG66" i="1"/>
  <c r="EH66" i="1"/>
  <c r="EI66" i="1"/>
  <c r="EJ66" i="1"/>
  <c r="EK66" i="1"/>
  <c r="EL66" i="1"/>
  <c r="EM66" i="1"/>
  <c r="EN66" i="1"/>
  <c r="EO66" i="1"/>
  <c r="EP66" i="1"/>
  <c r="EQ66" i="1"/>
  <c r="ER66" i="1"/>
  <c r="ES66" i="1"/>
  <c r="ET66" i="1"/>
  <c r="EU66" i="1"/>
  <c r="EV66" i="1"/>
  <c r="EW66" i="1"/>
  <c r="EX66" i="1"/>
  <c r="EY66" i="1"/>
  <c r="EZ66" i="1"/>
  <c r="FA66" i="1"/>
  <c r="FB66" i="1"/>
  <c r="FC66" i="1"/>
  <c r="FD66" i="1"/>
  <c r="FE66" i="1"/>
  <c r="FF66" i="1"/>
  <c r="FG66" i="1"/>
  <c r="FH66" i="1"/>
  <c r="FI66" i="1"/>
  <c r="FJ66" i="1"/>
  <c r="FK66" i="1"/>
  <c r="FL66" i="1"/>
  <c r="FM66" i="1"/>
  <c r="FN66" i="1"/>
  <c r="FO66" i="1"/>
  <c r="FP66" i="1"/>
  <c r="FQ66" i="1"/>
  <c r="FR66" i="1"/>
  <c r="FS66" i="1"/>
  <c r="FT66" i="1"/>
  <c r="FU66" i="1"/>
  <c r="FV66" i="1"/>
  <c r="FW66" i="1"/>
  <c r="FX66" i="1"/>
  <c r="FY66" i="1"/>
  <c r="FZ66" i="1"/>
  <c r="GA66" i="1"/>
  <c r="GB66" i="1"/>
  <c r="GC66" i="1"/>
  <c r="GD66" i="1"/>
  <c r="GE66" i="1"/>
  <c r="GF66" i="1"/>
  <c r="GG66" i="1"/>
  <c r="GH66" i="1"/>
  <c r="GI66" i="1"/>
  <c r="GJ66" i="1"/>
  <c r="GK66" i="1"/>
  <c r="GL66" i="1"/>
  <c r="GM66" i="1"/>
  <c r="GN66" i="1"/>
  <c r="GO66" i="1"/>
  <c r="GP66" i="1"/>
  <c r="GQ66" i="1"/>
  <c r="GR66" i="1"/>
  <c r="GS66" i="1"/>
  <c r="GT66" i="1"/>
  <c r="GU66" i="1"/>
  <c r="GV66" i="1"/>
  <c r="GW66" i="1"/>
  <c r="GX66" i="1"/>
  <c r="C68" i="1"/>
  <c r="D68" i="1"/>
  <c r="AC68" i="1"/>
  <c r="CQ68" i="1" s="1"/>
  <c r="P68" i="1" s="1"/>
  <c r="CP68" i="1" s="1"/>
  <c r="O68" i="1" s="1"/>
  <c r="AE68" i="1"/>
  <c r="AD68" i="1" s="1"/>
  <c r="AB68" i="1" s="1"/>
  <c r="AF68" i="1"/>
  <c r="CT68" i="1" s="1"/>
  <c r="S68" i="1" s="1"/>
  <c r="AG68" i="1"/>
  <c r="CU68" i="1" s="1"/>
  <c r="T68" i="1" s="1"/>
  <c r="AH68" i="1"/>
  <c r="AI68" i="1"/>
  <c r="AJ68" i="1"/>
  <c r="CX68" i="1" s="1"/>
  <c r="W68" i="1" s="1"/>
  <c r="CR68" i="1"/>
  <c r="Q68" i="1" s="1"/>
  <c r="CS68" i="1"/>
  <c r="R68" i="1" s="1"/>
  <c r="GK68" i="1" s="1"/>
  <c r="CV68" i="1"/>
  <c r="U68" i="1" s="1"/>
  <c r="CW68" i="1"/>
  <c r="V68" i="1" s="1"/>
  <c r="FR68" i="1"/>
  <c r="GL68" i="1"/>
  <c r="GN68" i="1"/>
  <c r="GO68" i="1"/>
  <c r="GV68" i="1"/>
  <c r="GX68" i="1"/>
  <c r="C69" i="1"/>
  <c r="D69" i="1"/>
  <c r="T69" i="1"/>
  <c r="AC69" i="1"/>
  <c r="AB69" i="1" s="1"/>
  <c r="AD69" i="1"/>
  <c r="AE69" i="1"/>
  <c r="CS69" i="1" s="1"/>
  <c r="R69" i="1" s="1"/>
  <c r="GK69" i="1" s="1"/>
  <c r="AF69" i="1"/>
  <c r="AG69" i="1"/>
  <c r="AH69" i="1"/>
  <c r="CV69" i="1" s="1"/>
  <c r="U69" i="1" s="1"/>
  <c r="AI69" i="1"/>
  <c r="CW69" i="1" s="1"/>
  <c r="V69" i="1" s="1"/>
  <c r="AJ69" i="1"/>
  <c r="CQ69" i="1"/>
  <c r="P69" i="1" s="1"/>
  <c r="CP69" i="1" s="1"/>
  <c r="O69" i="1" s="1"/>
  <c r="CR69" i="1"/>
  <c r="Q69" i="1" s="1"/>
  <c r="CT69" i="1"/>
  <c r="S69" i="1" s="1"/>
  <c r="CZ69" i="1" s="1"/>
  <c r="Y69" i="1" s="1"/>
  <c r="CU69" i="1"/>
  <c r="CX69" i="1"/>
  <c r="W69" i="1" s="1"/>
  <c r="FR69" i="1"/>
  <c r="GL69" i="1"/>
  <c r="GN69" i="1"/>
  <c r="GO69" i="1"/>
  <c r="GV69" i="1"/>
  <c r="GX69" i="1" s="1"/>
  <c r="C70" i="1"/>
  <c r="D70" i="1"/>
  <c r="I70" i="1"/>
  <c r="CX18" i="3" s="1"/>
  <c r="AC70" i="1"/>
  <c r="AE70" i="1"/>
  <c r="AF70" i="1"/>
  <c r="CT70" i="1" s="1"/>
  <c r="S70" i="1" s="1"/>
  <c r="CY70" i="1" s="1"/>
  <c r="X70" i="1" s="1"/>
  <c r="AG70" i="1"/>
  <c r="AH70" i="1"/>
  <c r="AI70" i="1"/>
  <c r="CW70" i="1" s="1"/>
  <c r="V70" i="1" s="1"/>
  <c r="AJ70" i="1"/>
  <c r="CX70" i="1" s="1"/>
  <c r="W70" i="1" s="1"/>
  <c r="CQ70" i="1"/>
  <c r="P70" i="1" s="1"/>
  <c r="CR70" i="1"/>
  <c r="Q70" i="1" s="1"/>
  <c r="CU70" i="1"/>
  <c r="T70" i="1" s="1"/>
  <c r="CV70" i="1"/>
  <c r="U70" i="1" s="1"/>
  <c r="FR70" i="1"/>
  <c r="GL70" i="1"/>
  <c r="GN70" i="1"/>
  <c r="GO70" i="1"/>
  <c r="GV70" i="1"/>
  <c r="GX70" i="1" s="1"/>
  <c r="C71" i="1"/>
  <c r="T71" i="1"/>
  <c r="AC71" i="1"/>
  <c r="AB71" i="1" s="1"/>
  <c r="AD71" i="1"/>
  <c r="AE71" i="1"/>
  <c r="CS71" i="1" s="1"/>
  <c r="R71" i="1" s="1"/>
  <c r="GK71" i="1" s="1"/>
  <c r="AF71" i="1"/>
  <c r="AG71" i="1"/>
  <c r="AH71" i="1"/>
  <c r="CV71" i="1" s="1"/>
  <c r="U71" i="1" s="1"/>
  <c r="AI71" i="1"/>
  <c r="CW71" i="1" s="1"/>
  <c r="V71" i="1" s="1"/>
  <c r="AJ71" i="1"/>
  <c r="CQ71" i="1"/>
  <c r="P71" i="1" s="1"/>
  <c r="CR71" i="1"/>
  <c r="Q71" i="1" s="1"/>
  <c r="CT71" i="1"/>
  <c r="S71" i="1" s="1"/>
  <c r="CU71" i="1"/>
  <c r="CX71" i="1"/>
  <c r="W71" i="1" s="1"/>
  <c r="FR71" i="1"/>
  <c r="GL71" i="1"/>
  <c r="GN71" i="1"/>
  <c r="GO71" i="1"/>
  <c r="GV71" i="1"/>
  <c r="GX71" i="1" s="1"/>
  <c r="GX72" i="1"/>
  <c r="R72" i="1"/>
  <c r="V72" i="1"/>
  <c r="AC72" i="1"/>
  <c r="CQ72" i="1" s="1"/>
  <c r="AD72" i="1"/>
  <c r="AE72" i="1"/>
  <c r="AF72" i="1"/>
  <c r="AB72" i="1" s="1"/>
  <c r="AG72" i="1"/>
  <c r="CU72" i="1" s="1"/>
  <c r="AH72" i="1"/>
  <c r="CV72" i="1" s="1"/>
  <c r="U72" i="1" s="1"/>
  <c r="AI72" i="1"/>
  <c r="AJ72" i="1"/>
  <c r="CX72" i="1" s="1"/>
  <c r="W72" i="1" s="1"/>
  <c r="CR72" i="1"/>
  <c r="Q72" i="1" s="1"/>
  <c r="CS72" i="1"/>
  <c r="CW72" i="1"/>
  <c r="FR72" i="1"/>
  <c r="GK72" i="1"/>
  <c r="GL72" i="1"/>
  <c r="GN72" i="1"/>
  <c r="GO72" i="1"/>
  <c r="GV72" i="1"/>
  <c r="AB73" i="1"/>
  <c r="AC73" i="1"/>
  <c r="CQ73" i="1" s="1"/>
  <c r="AE73" i="1"/>
  <c r="AD73" i="1" s="1"/>
  <c r="AF73" i="1"/>
  <c r="CT73" i="1" s="1"/>
  <c r="AG73" i="1"/>
  <c r="CU73" i="1" s="1"/>
  <c r="T73" i="1" s="1"/>
  <c r="AH73" i="1"/>
  <c r="AI73" i="1"/>
  <c r="CW73" i="1" s="1"/>
  <c r="V73" i="1" s="1"/>
  <c r="AJ73" i="1"/>
  <c r="CR73" i="1"/>
  <c r="Q73" i="1" s="1"/>
  <c r="CV73" i="1"/>
  <c r="U73" i="1" s="1"/>
  <c r="CX73" i="1"/>
  <c r="W73" i="1" s="1"/>
  <c r="FR73" i="1"/>
  <c r="GL73" i="1"/>
  <c r="GN73" i="1"/>
  <c r="GO73" i="1"/>
  <c r="GV73" i="1"/>
  <c r="GX73" i="1" s="1"/>
  <c r="AC74" i="1"/>
  <c r="AE74" i="1"/>
  <c r="AF74" i="1"/>
  <c r="AG74" i="1"/>
  <c r="CU74" i="1" s="1"/>
  <c r="T74" i="1" s="1"/>
  <c r="AH74" i="1"/>
  <c r="AI74" i="1"/>
  <c r="CW74" i="1" s="1"/>
  <c r="V74" i="1" s="1"/>
  <c r="AJ74" i="1"/>
  <c r="CR74" i="1"/>
  <c r="Q74" i="1" s="1"/>
  <c r="CT74" i="1"/>
  <c r="S74" i="1" s="1"/>
  <c r="CY74" i="1" s="1"/>
  <c r="X74" i="1" s="1"/>
  <c r="R120" i="5" s="1"/>
  <c r="CV74" i="1"/>
  <c r="U74" i="1" s="1"/>
  <c r="CX74" i="1"/>
  <c r="W74" i="1" s="1"/>
  <c r="FR74" i="1"/>
  <c r="GL74" i="1"/>
  <c r="GN74" i="1"/>
  <c r="GO74" i="1"/>
  <c r="GV74" i="1"/>
  <c r="GX74" i="1" s="1"/>
  <c r="P75" i="1"/>
  <c r="T75" i="1"/>
  <c r="AC75" i="1"/>
  <c r="AD75" i="1"/>
  <c r="AB75" i="1" s="1"/>
  <c r="AE75" i="1"/>
  <c r="AF75" i="1"/>
  <c r="CT75" i="1" s="1"/>
  <c r="S75" i="1" s="1"/>
  <c r="CZ75" i="1" s="1"/>
  <c r="Y75" i="1" s="1"/>
  <c r="T121" i="5" s="1"/>
  <c r="AG75" i="1"/>
  <c r="AH75" i="1"/>
  <c r="CV75" i="1" s="1"/>
  <c r="U75" i="1" s="1"/>
  <c r="AI75" i="1"/>
  <c r="AJ75" i="1"/>
  <c r="CX75" i="1" s="1"/>
  <c r="W75" i="1" s="1"/>
  <c r="CQ75" i="1"/>
  <c r="CR75" i="1"/>
  <c r="Q75" i="1" s="1"/>
  <c r="CS75" i="1"/>
  <c r="R75" i="1" s="1"/>
  <c r="GK75" i="1" s="1"/>
  <c r="CU75" i="1"/>
  <c r="CW75" i="1"/>
  <c r="V75" i="1" s="1"/>
  <c r="FR75" i="1"/>
  <c r="GL75" i="1"/>
  <c r="GN75" i="1"/>
  <c r="GO75" i="1"/>
  <c r="GV75" i="1"/>
  <c r="GX75" i="1"/>
  <c r="AC76" i="1"/>
  <c r="AE76" i="1"/>
  <c r="AD76" i="1" s="1"/>
  <c r="AF76" i="1"/>
  <c r="AG76" i="1"/>
  <c r="CU76" i="1" s="1"/>
  <c r="T76" i="1" s="1"/>
  <c r="AH76" i="1"/>
  <c r="AI76" i="1"/>
  <c r="CW76" i="1" s="1"/>
  <c r="V76" i="1" s="1"/>
  <c r="AJ76" i="1"/>
  <c r="CR76" i="1"/>
  <c r="Q76" i="1" s="1"/>
  <c r="CT76" i="1"/>
  <c r="S76" i="1" s="1"/>
  <c r="CV76" i="1"/>
  <c r="U76" i="1" s="1"/>
  <c r="CX76" i="1"/>
  <c r="W76" i="1" s="1"/>
  <c r="FR76" i="1"/>
  <c r="GL76" i="1"/>
  <c r="GN76" i="1"/>
  <c r="GO76" i="1"/>
  <c r="GV76" i="1"/>
  <c r="GX76" i="1" s="1"/>
  <c r="V77" i="1"/>
  <c r="AC77" i="1"/>
  <c r="AD77" i="1"/>
  <c r="AE77" i="1"/>
  <c r="AF77" i="1"/>
  <c r="CT77" i="1" s="1"/>
  <c r="S77" i="1" s="1"/>
  <c r="AG77" i="1"/>
  <c r="AH77" i="1"/>
  <c r="CV77" i="1" s="1"/>
  <c r="AI77" i="1"/>
  <c r="AJ77" i="1"/>
  <c r="CX77" i="1" s="1"/>
  <c r="W77" i="1" s="1"/>
  <c r="CQ77" i="1"/>
  <c r="P77" i="1" s="1"/>
  <c r="CR77" i="1"/>
  <c r="CS77" i="1"/>
  <c r="R77" i="1" s="1"/>
  <c r="GK77" i="1" s="1"/>
  <c r="CU77" i="1"/>
  <c r="T77" i="1" s="1"/>
  <c r="CW77" i="1"/>
  <c r="FR77" i="1"/>
  <c r="GL77" i="1"/>
  <c r="GN77" i="1"/>
  <c r="GO77" i="1"/>
  <c r="GV77" i="1"/>
  <c r="GX77" i="1"/>
  <c r="C78" i="1"/>
  <c r="D78" i="1"/>
  <c r="I78" i="1"/>
  <c r="AC78" i="1"/>
  <c r="AE78" i="1"/>
  <c r="AD78" i="1" s="1"/>
  <c r="AF78" i="1"/>
  <c r="AG78" i="1"/>
  <c r="CU78" i="1" s="1"/>
  <c r="T78" i="1" s="1"/>
  <c r="AH78" i="1"/>
  <c r="AI78" i="1"/>
  <c r="CW78" i="1" s="1"/>
  <c r="V78" i="1" s="1"/>
  <c r="AJ78" i="1"/>
  <c r="CR78" i="1"/>
  <c r="Q78" i="1" s="1"/>
  <c r="CT78" i="1"/>
  <c r="S78" i="1" s="1"/>
  <c r="CV78" i="1"/>
  <c r="U78" i="1" s="1"/>
  <c r="CX78" i="1"/>
  <c r="W78" i="1" s="1"/>
  <c r="FR78" i="1"/>
  <c r="GL78" i="1"/>
  <c r="GN78" i="1"/>
  <c r="GO78" i="1"/>
  <c r="GV78" i="1"/>
  <c r="GX78" i="1" s="1"/>
  <c r="C79" i="1"/>
  <c r="D79" i="1"/>
  <c r="I79" i="1"/>
  <c r="P79" i="1"/>
  <c r="T79" i="1"/>
  <c r="AC79" i="1"/>
  <c r="AD79" i="1"/>
  <c r="AB79" i="1" s="1"/>
  <c r="AE79" i="1"/>
  <c r="AF79" i="1"/>
  <c r="CT79" i="1" s="1"/>
  <c r="S79" i="1" s="1"/>
  <c r="CZ79" i="1" s="1"/>
  <c r="Y79" i="1" s="1"/>
  <c r="AG79" i="1"/>
  <c r="AH79" i="1"/>
  <c r="CV79" i="1" s="1"/>
  <c r="U79" i="1" s="1"/>
  <c r="AI79" i="1"/>
  <c r="AJ79" i="1"/>
  <c r="CX79" i="1" s="1"/>
  <c r="W79" i="1" s="1"/>
  <c r="CQ79" i="1"/>
  <c r="CR79" i="1"/>
  <c r="Q79" i="1" s="1"/>
  <c r="CS79" i="1"/>
  <c r="R79" i="1" s="1"/>
  <c r="GK79" i="1" s="1"/>
  <c r="CU79" i="1"/>
  <c r="CW79" i="1"/>
  <c r="V79" i="1" s="1"/>
  <c r="CY79" i="1"/>
  <c r="X79" i="1" s="1"/>
  <c r="FR79" i="1"/>
  <c r="GL79" i="1"/>
  <c r="GN79" i="1"/>
  <c r="GO79" i="1"/>
  <c r="GV79" i="1"/>
  <c r="GX79" i="1"/>
  <c r="C80" i="1"/>
  <c r="D80" i="1"/>
  <c r="R80" i="1"/>
  <c r="GK80" i="1" s="1"/>
  <c r="AC80" i="1"/>
  <c r="AD80" i="1"/>
  <c r="AE80" i="1"/>
  <c r="AF80" i="1"/>
  <c r="CT80" i="1" s="1"/>
  <c r="S80" i="1" s="1"/>
  <c r="AG80" i="1"/>
  <c r="AH80" i="1"/>
  <c r="CV80" i="1" s="1"/>
  <c r="U80" i="1" s="1"/>
  <c r="AI80" i="1"/>
  <c r="AJ80" i="1"/>
  <c r="CX80" i="1" s="1"/>
  <c r="W80" i="1" s="1"/>
  <c r="CQ80" i="1"/>
  <c r="P80" i="1" s="1"/>
  <c r="CR80" i="1"/>
  <c r="Q80" i="1" s="1"/>
  <c r="CS80" i="1"/>
  <c r="CU80" i="1"/>
  <c r="T80" i="1" s="1"/>
  <c r="CW80" i="1"/>
  <c r="V80" i="1" s="1"/>
  <c r="FR80" i="1"/>
  <c r="GL80" i="1"/>
  <c r="GN80" i="1"/>
  <c r="GO80" i="1"/>
  <c r="GV80" i="1"/>
  <c r="GX80" i="1"/>
  <c r="B82" i="1"/>
  <c r="B66" i="1" s="1"/>
  <c r="C82" i="1"/>
  <c r="C66" i="1" s="1"/>
  <c r="D82" i="1"/>
  <c r="D66" i="1" s="1"/>
  <c r="F82" i="1"/>
  <c r="F66" i="1" s="1"/>
  <c r="G82" i="1"/>
  <c r="G66" i="1" s="1"/>
  <c r="AO82" i="1"/>
  <c r="AO66" i="1" s="1"/>
  <c r="BX82" i="1"/>
  <c r="BX66" i="1" s="1"/>
  <c r="CC82" i="1"/>
  <c r="CK82" i="1"/>
  <c r="CL82" i="1"/>
  <c r="F86" i="1"/>
  <c r="B111" i="1"/>
  <c r="B22" i="1" s="1"/>
  <c r="C111" i="1"/>
  <c r="C22" i="1" s="1"/>
  <c r="D111" i="1"/>
  <c r="D22" i="1" s="1"/>
  <c r="F111" i="1"/>
  <c r="F22" i="1" s="1"/>
  <c r="G111" i="1"/>
  <c r="G22" i="1" s="1"/>
  <c r="B140" i="1"/>
  <c r="B18" i="1" s="1"/>
  <c r="C140" i="1"/>
  <c r="C18" i="1" s="1"/>
  <c r="D140" i="1"/>
  <c r="D18" i="1" s="1"/>
  <c r="F140" i="1"/>
  <c r="F18" i="1" s="1"/>
  <c r="G140" i="1"/>
  <c r="CB35" i="1" l="1"/>
  <c r="AS35" i="1" s="1"/>
  <c r="CY75" i="1"/>
  <c r="X75" i="1" s="1"/>
  <c r="R121" i="5" s="1"/>
  <c r="BY82" i="1"/>
  <c r="BY66" i="1" s="1"/>
  <c r="CZ74" i="1"/>
  <c r="Y74" i="1" s="1"/>
  <c r="T120" i="5" s="1"/>
  <c r="BY35" i="1"/>
  <c r="BY26" i="1" s="1"/>
  <c r="CY33" i="1"/>
  <c r="X33" i="1" s="1"/>
  <c r="R72" i="5" s="1"/>
  <c r="BZ35" i="1"/>
  <c r="CJ35" i="1"/>
  <c r="CJ26" i="1" s="1"/>
  <c r="AG35" i="1"/>
  <c r="T35" i="1" s="1"/>
  <c r="CC35" i="1"/>
  <c r="AT35" i="1" s="1"/>
  <c r="K102" i="5"/>
  <c r="K138" i="5"/>
  <c r="P138" i="5"/>
  <c r="K158" i="5"/>
  <c r="P158" i="5"/>
  <c r="P112" i="5"/>
  <c r="K112" i="5"/>
  <c r="P92" i="5"/>
  <c r="K92" i="5"/>
  <c r="K148" i="5"/>
  <c r="P148" i="5"/>
  <c r="G18" i="1"/>
  <c r="A162" i="5"/>
  <c r="CY78" i="1"/>
  <c r="X78" i="1" s="1"/>
  <c r="CZ78" i="1"/>
  <c r="Y78" i="1" s="1"/>
  <c r="CY76" i="1"/>
  <c r="X76" i="1" s="1"/>
  <c r="R122" i="5" s="1"/>
  <c r="CZ76" i="1"/>
  <c r="Y76" i="1" s="1"/>
  <c r="T122" i="5" s="1"/>
  <c r="AI82" i="1"/>
  <c r="AB80" i="1"/>
  <c r="AJ82" i="1"/>
  <c r="CL66" i="1"/>
  <c r="BC82" i="1"/>
  <c r="CQ78" i="1"/>
  <c r="P78" i="1" s="1"/>
  <c r="CP78" i="1" s="1"/>
  <c r="O78" i="1" s="1"/>
  <c r="AB78" i="1"/>
  <c r="Q77" i="1"/>
  <c r="CP77" i="1" s="1"/>
  <c r="O77" i="1" s="1"/>
  <c r="J123" i="5" s="1"/>
  <c r="U77" i="1"/>
  <c r="AH82" i="1" s="1"/>
  <c r="CT72" i="1"/>
  <c r="S72" i="1" s="1"/>
  <c r="CP79" i="1"/>
  <c r="O79" i="1" s="1"/>
  <c r="CP75" i="1"/>
  <c r="O75" i="1" s="1"/>
  <c r="J121" i="5" s="1"/>
  <c r="CZ71" i="1"/>
  <c r="Y71" i="1" s="1"/>
  <c r="CY71" i="1"/>
  <c r="X71" i="1" s="1"/>
  <c r="CK66" i="1"/>
  <c r="BB82" i="1"/>
  <c r="BZ82" i="1"/>
  <c r="CS74" i="1"/>
  <c r="R74" i="1" s="1"/>
  <c r="GK74" i="1" s="1"/>
  <c r="AD74" i="1"/>
  <c r="CP71" i="1"/>
  <c r="O71" i="1" s="1"/>
  <c r="CJ82" i="1"/>
  <c r="CC66" i="1"/>
  <c r="AT82" i="1"/>
  <c r="CY80" i="1"/>
  <c r="X80" i="1" s="1"/>
  <c r="CZ80" i="1"/>
  <c r="Y80" i="1" s="1"/>
  <c r="CQ76" i="1"/>
  <c r="P76" i="1" s="1"/>
  <c r="CP76" i="1" s="1"/>
  <c r="O76" i="1" s="1"/>
  <c r="J122" i="5" s="1"/>
  <c r="AB76" i="1"/>
  <c r="CB82" i="1"/>
  <c r="CP80" i="1"/>
  <c r="O80" i="1" s="1"/>
  <c r="CY77" i="1"/>
  <c r="X77" i="1" s="1"/>
  <c r="R123" i="5" s="1"/>
  <c r="CZ77" i="1"/>
  <c r="Y77" i="1" s="1"/>
  <c r="T123" i="5" s="1"/>
  <c r="AB77" i="1"/>
  <c r="AB74" i="1"/>
  <c r="AG82" i="1"/>
  <c r="CK26" i="1"/>
  <c r="BB35" i="1"/>
  <c r="CS78" i="1"/>
  <c r="R78" i="1" s="1"/>
  <c r="GK78" i="1" s="1"/>
  <c r="CX27" i="3"/>
  <c r="CX28" i="3"/>
  <c r="CX25" i="3"/>
  <c r="CX26" i="3"/>
  <c r="CS76" i="1"/>
  <c r="R76" i="1" s="1"/>
  <c r="GK76" i="1" s="1"/>
  <c r="CQ74" i="1"/>
  <c r="P74" i="1" s="1"/>
  <c r="CP74" i="1" s="1"/>
  <c r="O74" i="1" s="1"/>
  <c r="J120" i="5" s="1"/>
  <c r="S73" i="1"/>
  <c r="AF82" i="1" s="1"/>
  <c r="CZ70" i="1"/>
  <c r="Y70" i="1" s="1"/>
  <c r="CP70" i="1"/>
  <c r="O70" i="1" s="1"/>
  <c r="CY69" i="1"/>
  <c r="X69" i="1" s="1"/>
  <c r="GP69" i="1" s="1"/>
  <c r="CY32" i="1"/>
  <c r="X32" i="1" s="1"/>
  <c r="R71" i="5" s="1"/>
  <c r="CZ32" i="1"/>
  <c r="Y32" i="1" s="1"/>
  <c r="T71" i="5" s="1"/>
  <c r="CY31" i="1"/>
  <c r="X31" i="1" s="1"/>
  <c r="R66" i="5" s="1"/>
  <c r="CZ31" i="1"/>
  <c r="Y31" i="1" s="1"/>
  <c r="T66" i="5" s="1"/>
  <c r="AB31" i="1"/>
  <c r="AD35" i="1"/>
  <c r="CX31" i="3"/>
  <c r="CX32" i="3"/>
  <c r="CX29" i="3"/>
  <c r="CX30" i="3"/>
  <c r="CY68" i="1"/>
  <c r="X68" i="1" s="1"/>
  <c r="GM68" i="1" s="1"/>
  <c r="CZ68" i="1"/>
  <c r="Y68" i="1" s="1"/>
  <c r="CS73" i="1"/>
  <c r="R73" i="1" s="1"/>
  <c r="GK73" i="1" s="1"/>
  <c r="P73" i="1"/>
  <c r="T72" i="1"/>
  <c r="P72" i="1"/>
  <c r="CP72" i="1" s="1"/>
  <c r="O72" i="1" s="1"/>
  <c r="J118" i="5" s="1"/>
  <c r="CS70" i="1"/>
  <c r="R70" i="1" s="1"/>
  <c r="AD70" i="1"/>
  <c r="AB70" i="1" s="1"/>
  <c r="CY30" i="1"/>
  <c r="X30" i="1" s="1"/>
  <c r="R56" i="5" s="1"/>
  <c r="J61" i="5" s="1"/>
  <c r="CZ30" i="1"/>
  <c r="Y30" i="1" s="1"/>
  <c r="T56" i="5" s="1"/>
  <c r="J62" i="5" s="1"/>
  <c r="CY28" i="1"/>
  <c r="X28" i="1" s="1"/>
  <c r="R36" i="5" s="1"/>
  <c r="J41" i="5" s="1"/>
  <c r="CZ28" i="1"/>
  <c r="Y28" i="1" s="1"/>
  <c r="T36" i="5" s="1"/>
  <c r="J42" i="5" s="1"/>
  <c r="CP33" i="1"/>
  <c r="O33" i="1" s="1"/>
  <c r="J72" i="5" s="1"/>
  <c r="CQ30" i="1"/>
  <c r="AB30" i="1"/>
  <c r="W29" i="1"/>
  <c r="AJ35" i="1" s="1"/>
  <c r="S29" i="1"/>
  <c r="J47" i="5" s="1"/>
  <c r="AB29" i="1"/>
  <c r="BX26" i="1"/>
  <c r="AO35" i="1"/>
  <c r="CX15" i="3"/>
  <c r="CX16" i="3"/>
  <c r="CX17" i="3"/>
  <c r="BC35" i="1"/>
  <c r="CS32" i="1"/>
  <c r="R32" i="1" s="1"/>
  <c r="GK32" i="1" s="1"/>
  <c r="AD32" i="1"/>
  <c r="AB32" i="1" s="1"/>
  <c r="CP31" i="1"/>
  <c r="O31" i="1" s="1"/>
  <c r="U29" i="1"/>
  <c r="AH35" i="1" s="1"/>
  <c r="AI35" i="1"/>
  <c r="CS28" i="1"/>
  <c r="R28" i="1" s="1"/>
  <c r="AD28" i="1"/>
  <c r="AB28" i="1" s="1"/>
  <c r="CQ32" i="1"/>
  <c r="P32" i="1" s="1"/>
  <c r="CP32" i="1" s="1"/>
  <c r="O32" i="1" s="1"/>
  <c r="J71" i="5" s="1"/>
  <c r="CS30" i="1"/>
  <c r="CQ28" i="1"/>
  <c r="P28" i="1" s="1"/>
  <c r="CX5" i="3"/>
  <c r="CX4" i="3"/>
  <c r="I45" i="5" l="1"/>
  <c r="P45" i="5" s="1"/>
  <c r="CP30" i="1"/>
  <c r="O30" i="1" s="1"/>
  <c r="J60" i="5"/>
  <c r="CB26" i="1"/>
  <c r="V56" i="5"/>
  <c r="J74" i="5"/>
  <c r="AD82" i="1"/>
  <c r="AD66" i="1" s="1"/>
  <c r="AP82" i="1"/>
  <c r="AP66" i="1" s="1"/>
  <c r="CI82" i="1"/>
  <c r="AZ82" i="1" s="1"/>
  <c r="AC82" i="1"/>
  <c r="CH82" i="1" s="1"/>
  <c r="AP35" i="1"/>
  <c r="J73" i="5"/>
  <c r="CI35" i="1"/>
  <c r="CI26" i="1" s="1"/>
  <c r="CC26" i="1"/>
  <c r="AG26" i="1"/>
  <c r="BA35" i="1"/>
  <c r="F55" i="1" s="1"/>
  <c r="BZ26" i="1"/>
  <c r="CG35" i="1"/>
  <c r="AQ35" i="1"/>
  <c r="AJ26" i="1"/>
  <c r="W35" i="1"/>
  <c r="AH66" i="1"/>
  <c r="U82" i="1"/>
  <c r="U35" i="1"/>
  <c r="AH26" i="1"/>
  <c r="S82" i="1"/>
  <c r="AF66" i="1"/>
  <c r="CY29" i="1"/>
  <c r="X29" i="1" s="1"/>
  <c r="R46" i="5" s="1"/>
  <c r="J51" i="5" s="1"/>
  <c r="CZ29" i="1"/>
  <c r="Y29" i="1" s="1"/>
  <c r="T46" i="5" s="1"/>
  <c r="J52" i="5" s="1"/>
  <c r="AG66" i="1"/>
  <c r="T82" i="1"/>
  <c r="T111" i="1" s="1"/>
  <c r="GM71" i="1"/>
  <c r="GP71" i="1"/>
  <c r="AL35" i="1"/>
  <c r="Q35" i="1"/>
  <c r="AD26" i="1"/>
  <c r="GP74" i="1"/>
  <c r="GM74" i="1"/>
  <c r="GP80" i="1"/>
  <c r="GM80" i="1"/>
  <c r="CJ66" i="1"/>
  <c r="BA82" i="1"/>
  <c r="BB66" i="1"/>
  <c r="F95" i="1"/>
  <c r="GM75" i="1"/>
  <c r="GP75" i="1"/>
  <c r="AJ66" i="1"/>
  <c r="W82" i="1"/>
  <c r="F91" i="1"/>
  <c r="GM72" i="1"/>
  <c r="CY73" i="1"/>
  <c r="X73" i="1" s="1"/>
  <c r="R119" i="5" s="1"/>
  <c r="CZ73" i="1"/>
  <c r="Y73" i="1" s="1"/>
  <c r="T119" i="5" s="1"/>
  <c r="CP29" i="1"/>
  <c r="O29" i="1" s="1"/>
  <c r="Q82" i="1"/>
  <c r="CP28" i="1"/>
  <c r="O28" i="1" s="1"/>
  <c r="AC35" i="1"/>
  <c r="V35" i="1"/>
  <c r="AI26" i="1"/>
  <c r="AP26" i="1"/>
  <c r="F44" i="1"/>
  <c r="AT26" i="1"/>
  <c r="F53" i="1"/>
  <c r="AT111" i="1"/>
  <c r="AF35" i="1"/>
  <c r="CP73" i="1"/>
  <c r="O73" i="1" s="1"/>
  <c r="J119" i="5" s="1"/>
  <c r="GM70" i="1"/>
  <c r="CB66" i="1"/>
  <c r="AS82" i="1"/>
  <c r="AS111" i="1" s="1"/>
  <c r="GM69" i="1"/>
  <c r="GM79" i="1"/>
  <c r="GP79" i="1"/>
  <c r="GP31" i="1"/>
  <c r="GM31" i="1"/>
  <c r="AO26" i="1"/>
  <c r="F39" i="1"/>
  <c r="AO111" i="1"/>
  <c r="GM33" i="1"/>
  <c r="GP33" i="1"/>
  <c r="AB82" i="1"/>
  <c r="AS26" i="1"/>
  <c r="F52" i="1"/>
  <c r="BB26" i="1"/>
  <c r="F48" i="1"/>
  <c r="BB111" i="1"/>
  <c r="GP76" i="1"/>
  <c r="GM76" i="1"/>
  <c r="GP77" i="1"/>
  <c r="GM77" i="1"/>
  <c r="BC66" i="1"/>
  <c r="F98" i="1"/>
  <c r="CI66" i="1"/>
  <c r="GK28" i="1"/>
  <c r="AE35" i="1"/>
  <c r="GP32" i="1"/>
  <c r="GM32" i="1"/>
  <c r="BC26" i="1"/>
  <c r="F51" i="1"/>
  <c r="BC111" i="1"/>
  <c r="AK35" i="1"/>
  <c r="GK70" i="1"/>
  <c r="GP70" i="1" s="1"/>
  <c r="AE82" i="1"/>
  <c r="AK82" i="1"/>
  <c r="GP68" i="1"/>
  <c r="AT66" i="1"/>
  <c r="F100" i="1"/>
  <c r="BZ66" i="1"/>
  <c r="AQ82" i="1"/>
  <c r="CG82" i="1"/>
  <c r="CY72" i="1"/>
  <c r="X72" i="1" s="1"/>
  <c r="CZ72" i="1"/>
  <c r="Y72" i="1" s="1"/>
  <c r="GP78" i="1"/>
  <c r="GM78" i="1"/>
  <c r="T26" i="1"/>
  <c r="F56" i="1"/>
  <c r="AI66" i="1"/>
  <c r="V82" i="1"/>
  <c r="K45" i="5" l="1"/>
  <c r="I55" i="5"/>
  <c r="P55" i="5" s="1"/>
  <c r="J63" i="5"/>
  <c r="I65" i="5" s="1"/>
  <c r="AZ35" i="1"/>
  <c r="AZ26" i="1" s="1"/>
  <c r="GK30" i="1"/>
  <c r="J59" i="5"/>
  <c r="I77" i="5"/>
  <c r="K77" i="5" s="1"/>
  <c r="AP111" i="1"/>
  <c r="AP22" i="1" s="1"/>
  <c r="CF82" i="1"/>
  <c r="AW82" i="1" s="1"/>
  <c r="AC66" i="1"/>
  <c r="P82" i="1"/>
  <c r="F85" i="1" s="1"/>
  <c r="CE82" i="1"/>
  <c r="CE66" i="1" s="1"/>
  <c r="AL82" i="1"/>
  <c r="AL66" i="1" s="1"/>
  <c r="T118" i="5"/>
  <c r="J125" i="5" s="1"/>
  <c r="GP72" i="1"/>
  <c r="R118" i="5"/>
  <c r="J124" i="5" s="1"/>
  <c r="BA26" i="1"/>
  <c r="CG26" i="1"/>
  <c r="AX35" i="1"/>
  <c r="F45" i="1"/>
  <c r="AQ26" i="1"/>
  <c r="T22" i="1"/>
  <c r="T140" i="1"/>
  <c r="F132" i="1"/>
  <c r="BC22" i="1"/>
  <c r="BC140" i="1"/>
  <c r="F127" i="1"/>
  <c r="AS22" i="1"/>
  <c r="F128" i="1"/>
  <c r="AS140" i="1"/>
  <c r="F120" i="1"/>
  <c r="V26" i="1"/>
  <c r="F58" i="1"/>
  <c r="V111" i="1"/>
  <c r="W66" i="1"/>
  <c r="F106" i="1"/>
  <c r="Q26" i="1"/>
  <c r="Q111" i="1"/>
  <c r="F47" i="1"/>
  <c r="CF66" i="1"/>
  <c r="S66" i="1"/>
  <c r="F97" i="1"/>
  <c r="U66" i="1"/>
  <c r="F104" i="1"/>
  <c r="AE66" i="1"/>
  <c r="R82" i="1"/>
  <c r="F46" i="1"/>
  <c r="AZ111" i="1"/>
  <c r="AZ66" i="1"/>
  <c r="F93" i="1"/>
  <c r="BB22" i="1"/>
  <c r="BB140" i="1"/>
  <c r="F124" i="1"/>
  <c r="AT22" i="1"/>
  <c r="F129" i="1"/>
  <c r="AT140" i="1"/>
  <c r="P35" i="1"/>
  <c r="AC26" i="1"/>
  <c r="CH35" i="1"/>
  <c r="CE35" i="1"/>
  <c r="CF35" i="1"/>
  <c r="GP29" i="1"/>
  <c r="GM29" i="1"/>
  <c r="Y35" i="1"/>
  <c r="AL26" i="1"/>
  <c r="P66" i="1"/>
  <c r="AQ66" i="1"/>
  <c r="F92" i="1"/>
  <c r="AQ111" i="1"/>
  <c r="AF26" i="1"/>
  <c r="S35" i="1"/>
  <c r="V66" i="1"/>
  <c r="F105" i="1"/>
  <c r="AO22" i="1"/>
  <c r="F115" i="1"/>
  <c r="AO140" i="1"/>
  <c r="AS66" i="1"/>
  <c r="F99" i="1"/>
  <c r="GP28" i="1"/>
  <c r="AB35" i="1"/>
  <c r="GM28" i="1"/>
  <c r="BA66" i="1"/>
  <c r="F102" i="1"/>
  <c r="BA111" i="1"/>
  <c r="T66" i="1"/>
  <c r="F103" i="1"/>
  <c r="W26" i="1"/>
  <c r="F59" i="1"/>
  <c r="W111" i="1"/>
  <c r="AK66" i="1"/>
  <c r="X82" i="1"/>
  <c r="CG66" i="1"/>
  <c r="AX82" i="1"/>
  <c r="X35" i="1"/>
  <c r="AK26" i="1"/>
  <c r="R35" i="1"/>
  <c r="AE26" i="1"/>
  <c r="O82" i="1"/>
  <c r="AB66" i="1"/>
  <c r="GP73" i="1"/>
  <c r="GM73" i="1"/>
  <c r="CA82" i="1" s="1"/>
  <c r="Q66" i="1"/>
  <c r="F94" i="1"/>
  <c r="CH66" i="1"/>
  <c r="AY82" i="1"/>
  <c r="U26" i="1"/>
  <c r="F57" i="1"/>
  <c r="U111" i="1"/>
  <c r="K55" i="5" l="1"/>
  <c r="K65" i="5"/>
  <c r="P65" i="5"/>
  <c r="AP140" i="1"/>
  <c r="GP30" i="1"/>
  <c r="CD35" i="1" s="1"/>
  <c r="GM30" i="1"/>
  <c r="CA35" i="1" s="1"/>
  <c r="P77" i="5"/>
  <c r="Y82" i="1"/>
  <c r="AV82" i="1"/>
  <c r="AV66" i="1" s="1"/>
  <c r="CD82" i="1"/>
  <c r="CD66" i="1" s="1"/>
  <c r="I128" i="5"/>
  <c r="F42" i="1"/>
  <c r="AX26" i="1"/>
  <c r="G16" i="2"/>
  <c r="G18" i="2" s="1"/>
  <c r="I26" i="5"/>
  <c r="F16" i="2"/>
  <c r="F18" i="2" s="1"/>
  <c r="I25" i="5"/>
  <c r="E16" i="2"/>
  <c r="E18" i="2" s="1"/>
  <c r="I24" i="5"/>
  <c r="X26" i="1"/>
  <c r="F60" i="1"/>
  <c r="X111" i="1"/>
  <c r="F87" i="1"/>
  <c r="BA22" i="1"/>
  <c r="F131" i="1"/>
  <c r="BA140" i="1"/>
  <c r="AB26" i="1"/>
  <c r="O35" i="1"/>
  <c r="AO18" i="1"/>
  <c r="F144" i="1"/>
  <c r="CF26" i="1"/>
  <c r="AW35" i="1"/>
  <c r="P26" i="1"/>
  <c r="F38" i="1"/>
  <c r="P111" i="1"/>
  <c r="R66" i="1"/>
  <c r="F96" i="1"/>
  <c r="AP18" i="1"/>
  <c r="F149" i="1"/>
  <c r="AY66" i="1"/>
  <c r="F90" i="1"/>
  <c r="AX66" i="1"/>
  <c r="F89" i="1"/>
  <c r="AX111" i="1"/>
  <c r="W22" i="1"/>
  <c r="F135" i="1"/>
  <c r="W140" i="1"/>
  <c r="F50" i="1"/>
  <c r="S26" i="1"/>
  <c r="S111" i="1"/>
  <c r="Y26" i="1"/>
  <c r="F61" i="1"/>
  <c r="Y111" i="1"/>
  <c r="CE26" i="1"/>
  <c r="AV35" i="1"/>
  <c r="AT18" i="1"/>
  <c r="F158" i="1"/>
  <c r="BB18" i="1"/>
  <c r="F153" i="1"/>
  <c r="AZ22" i="1"/>
  <c r="AZ140" i="1"/>
  <c r="F122" i="1"/>
  <c r="Q22" i="1"/>
  <c r="Q140" i="1"/>
  <c r="F123" i="1"/>
  <c r="V22" i="1"/>
  <c r="V140" i="1"/>
  <c r="F134" i="1"/>
  <c r="Y66" i="1"/>
  <c r="F108" i="1"/>
  <c r="X66" i="1"/>
  <c r="F107" i="1"/>
  <c r="O66" i="1"/>
  <c r="F84" i="1"/>
  <c r="U22" i="1"/>
  <c r="F133" i="1"/>
  <c r="U140" i="1"/>
  <c r="R26" i="1"/>
  <c r="F49" i="1"/>
  <c r="R111" i="1"/>
  <c r="CH26" i="1"/>
  <c r="AY35" i="1"/>
  <c r="AW66" i="1"/>
  <c r="F88" i="1"/>
  <c r="AQ22" i="1"/>
  <c r="F121" i="1"/>
  <c r="AQ140" i="1"/>
  <c r="AS18" i="1"/>
  <c r="F157" i="1"/>
  <c r="BC18" i="1"/>
  <c r="F156" i="1"/>
  <c r="T18" i="1"/>
  <c r="F161" i="1"/>
  <c r="CA66" i="1"/>
  <c r="AR82" i="1"/>
  <c r="AR35" i="1" l="1"/>
  <c r="AR111" i="1" s="1"/>
  <c r="CA26" i="1"/>
  <c r="I79" i="5"/>
  <c r="AU82" i="1"/>
  <c r="AU66" i="1" s="1"/>
  <c r="K128" i="5"/>
  <c r="P128" i="5"/>
  <c r="I162" i="5" s="1"/>
  <c r="V18" i="1"/>
  <c r="F163" i="1"/>
  <c r="AV26" i="1"/>
  <c r="F40" i="1"/>
  <c r="AV111" i="1"/>
  <c r="AY26" i="1"/>
  <c r="F43" i="1"/>
  <c r="AY111" i="1"/>
  <c r="F109" i="1"/>
  <c r="AR66" i="1"/>
  <c r="AQ18" i="1"/>
  <c r="F150" i="1"/>
  <c r="U18" i="1"/>
  <c r="F162" i="1"/>
  <c r="AZ18" i="1"/>
  <c r="F151" i="1"/>
  <c r="Y22" i="1"/>
  <c r="F137" i="1"/>
  <c r="Y140" i="1"/>
  <c r="AW26" i="1"/>
  <c r="F41" i="1"/>
  <c r="AW111" i="1"/>
  <c r="F37" i="1"/>
  <c r="O26" i="1"/>
  <c r="O111" i="1"/>
  <c r="R22" i="1"/>
  <c r="F125" i="1"/>
  <c r="R140" i="1"/>
  <c r="Q18" i="1"/>
  <c r="F152" i="1"/>
  <c r="P22" i="1"/>
  <c r="P140" i="1"/>
  <c r="F114" i="1"/>
  <c r="CD26" i="1"/>
  <c r="AU35" i="1"/>
  <c r="AX22" i="1"/>
  <c r="F118" i="1"/>
  <c r="AX140" i="1"/>
  <c r="BA18" i="1"/>
  <c r="F160" i="1"/>
  <c r="S22" i="1"/>
  <c r="F126" i="1"/>
  <c r="S140" i="1"/>
  <c r="W18" i="1"/>
  <c r="F164" i="1"/>
  <c r="X22" i="1"/>
  <c r="X140" i="1"/>
  <c r="F136" i="1"/>
  <c r="F62" i="1" l="1"/>
  <c r="AR26" i="1"/>
  <c r="F101" i="1"/>
  <c r="I160" i="5"/>
  <c r="J16" i="2"/>
  <c r="J18" i="2" s="1"/>
  <c r="I28" i="5"/>
  <c r="S18" i="1"/>
  <c r="F155" i="1"/>
  <c r="O22" i="1"/>
  <c r="F113" i="1"/>
  <c r="O140" i="1"/>
  <c r="P18" i="1"/>
  <c r="F143" i="1"/>
  <c r="R18" i="1"/>
  <c r="F154" i="1"/>
  <c r="AY22" i="1"/>
  <c r="AY140" i="1"/>
  <c r="F119" i="1"/>
  <c r="X18" i="1"/>
  <c r="F165" i="1"/>
  <c r="AR22" i="1"/>
  <c r="F138" i="1"/>
  <c r="I23" i="5" s="1"/>
  <c r="AR140" i="1"/>
  <c r="AU26" i="1"/>
  <c r="F54" i="1"/>
  <c r="AU111" i="1"/>
  <c r="Y18" i="1"/>
  <c r="F166" i="1"/>
  <c r="AX18" i="1"/>
  <c r="F147" i="1"/>
  <c r="AW22" i="1"/>
  <c r="F117" i="1"/>
  <c r="AW140" i="1"/>
  <c r="AV22" i="1"/>
  <c r="AV140" i="1"/>
  <c r="F116" i="1"/>
  <c r="AU22" i="1" l="1"/>
  <c r="AU140" i="1"/>
  <c r="F130" i="1"/>
  <c r="AW18" i="1"/>
  <c r="F146" i="1"/>
  <c r="AY18" i="1"/>
  <c r="F148" i="1"/>
  <c r="AV18" i="1"/>
  <c r="F145" i="1"/>
  <c r="AR18" i="1"/>
  <c r="F167" i="1"/>
  <c r="O18" i="1"/>
  <c r="F142" i="1"/>
  <c r="H16" i="2" l="1"/>
  <c r="H18" i="2" s="1"/>
  <c r="I27" i="5"/>
  <c r="AU18" i="1"/>
  <c r="F159" i="1"/>
  <c r="I16" i="2" l="1"/>
  <c r="I18" i="2" s="1"/>
</calcChain>
</file>

<file path=xl/sharedStrings.xml><?xml version="1.0" encoding="utf-8"?>
<sst xmlns="http://schemas.openxmlformats.org/spreadsheetml/2006/main" count="1751" uniqueCount="226">
  <si>
    <t>Smeta.RU  (495) 974-1589</t>
  </si>
  <si>
    <t>_PS_</t>
  </si>
  <si>
    <t>Smeta.RU</t>
  </si>
  <si>
    <t/>
  </si>
  <si>
    <t>Новый объект</t>
  </si>
  <si>
    <t>Уличное освещение</t>
  </si>
  <si>
    <t>Сметные нормы списания</t>
  </si>
  <si>
    <t>Коды ОКП для СН-2012 - 2018 г.</t>
  </si>
  <si>
    <t>СН-2012 - 2018 г_глава_1-5</t>
  </si>
  <si>
    <t>Типовой расчет для СН-2012 - 2018 г</t>
  </si>
  <si>
    <t>СН-2012-2018 г. База данных "Сборник стоимостных нормативов"</t>
  </si>
  <si>
    <t>Новая локальная смета</t>
  </si>
  <si>
    <t>Новый раздел</t>
  </si>
  <si>
    <t>Технический осмотр</t>
  </si>
  <si>
    <t>1</t>
  </si>
  <si>
    <t>1.21-2201-3-1/1</t>
  </si>
  <si>
    <t>Технический осмотр силового распределительного пункта с вводным рубильником и предохранителями, число групп 4</t>
  </si>
  <si>
    <t>шт.</t>
  </si>
  <si>
    <t>СН-2012-2018.1. База. Сб.21-2201-3-1/1</t>
  </si>
  <si>
    <t>)*2</t>
  </si>
  <si>
    <t>СН-2012</t>
  </si>
  <si>
    <t>Подрядные работы, гл. 1-5</t>
  </si>
  <si>
    <t>работа</t>
  </si>
  <si>
    <t>2</t>
  </si>
  <si>
    <t>2.9-2101-1-2/1</t>
  </si>
  <si>
    <t>Технический осмотр кабельных линий до 10 кВ, проложенных в земле, кабель сечением 16-35 мм2</t>
  </si>
  <si>
    <t>км</t>
  </si>
  <si>
    <t>СН-2012-2018.2. База. Сб.9-2101-1-2/1</t>
  </si>
  <si>
    <t>3</t>
  </si>
  <si>
    <t>2.10-2101-1-1/1</t>
  </si>
  <si>
    <t>Технический осмотр светильников наружного освещения с лампами ДРЛ, ДРИ</t>
  </si>
  <si>
    <t>10 шт.</t>
  </si>
  <si>
    <t>СН-2012-2018.2. База. Сб.10-2101-1-1/1</t>
  </si>
  <si>
    <t>4</t>
  </si>
  <si>
    <t>калькуляция №1</t>
  </si>
  <si>
    <t>Технический осмотр опор освещения</t>
  </si>
  <si>
    <t>4,1</t>
  </si>
  <si>
    <t>9999990008</t>
  </si>
  <si>
    <t>Трудозатраты рабочих (рабочий 4 разряда)</t>
  </si>
  <si>
    <t>чел.-ч.</t>
  </si>
  <si>
    <t>4,2</t>
  </si>
  <si>
    <t>22.1-18-24</t>
  </si>
  <si>
    <t>Автомобили полупассажирские типа ГАЗ, грузоподъемность до 2 т (прим.)</t>
  </si>
  <si>
    <t>маш.-ч</t>
  </si>
  <si>
    <t>СН-2012-2018.22. База. п.1-18-24 (183102)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</si>
  <si>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</si>
  <si>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</si>
  <si>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</si>
  <si>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</si>
  <si>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</si>
  <si>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</si>
  <si>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</si>
  <si>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</si>
  <si>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</si>
  <si>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</si>
  <si>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</si>
  <si>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</si>
  <si>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</si>
  <si>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</si>
  <si>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</si>
  <si>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</si>
  <si>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</si>
  <si>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</si>
  <si>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</si>
  <si>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</si>
  <si>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</si>
  <si>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</si>
  <si>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</si>
  <si>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</si>
  <si>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</si>
  <si>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</si>
  <si>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</si>
  <si>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</si>
  <si>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</si>
  <si>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</si>
  <si>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</si>
  <si>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</si>
  <si>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</si>
  <si>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</si>
  <si>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</si>
  <si>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</si>
  <si>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</si>
  <si>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</si>
  <si>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</si>
  <si>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</si>
  <si>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</si>
  <si>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</si>
  <si>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</si>
  <si>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</si>
  <si>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</si>
  <si>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</si>
  <si>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</si>
  <si>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</si>
  <si>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</si>
  <si>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</si>
  <si>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</si>
  <si>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</si>
  <si>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Техническое обслуживание</t>
  </si>
  <si>
    <t>5</t>
  </si>
  <si>
    <t>1.21-2203-3-1/1</t>
  </si>
  <si>
    <t>Техническое обслуживание силового распределительного пункта с вводным рубильником и предохранителями, число групп 4</t>
  </si>
  <si>
    <t>СН-2012-2018.1. База. Сб.21-2203-3-1/1</t>
  </si>
  <si>
    <t>6</t>
  </si>
  <si>
    <t>2.9-2103-1-2/1</t>
  </si>
  <si>
    <t>Техническое обслуживание кабельных линий до 10 кВ, проложенных в земле, кабель сечением 16-35 мм2</t>
  </si>
  <si>
    <t>СН-2012-2018.2. База. Сб.9-2103-1-2/1</t>
  </si>
  <si>
    <t>7</t>
  </si>
  <si>
    <t>2.10-3101-1-1/1</t>
  </si>
  <si>
    <t>Техническое обслуживание светильников наружного освещения с лампами ДРЛ, ДРИ</t>
  </si>
  <si>
    <t>СН-2012-2018.2. База. Сб.10-3101-1-1/1</t>
  </si>
  <si>
    <t>8</t>
  </si>
  <si>
    <t>калькуляция №2</t>
  </si>
  <si>
    <t>Техническое обслуживание опор освещения</t>
  </si>
  <si>
    <t>8,1</t>
  </si>
  <si>
    <t>Трудозатраты рабочих (рабочий 5 разряда)</t>
  </si>
  <si>
    <t>)*4</t>
  </si>
  <si>
    <t>8,2</t>
  </si>
  <si>
    <t>8,3</t>
  </si>
  <si>
    <t>22.1-8-1</t>
  </si>
  <si>
    <t>Машины монтажные для кабельных работ на автомобиле (Машина прикрытия типа бортового автомобиля на шасси ЗИЛ-433360)</t>
  </si>
  <si>
    <t>СН-2012-2018.22. База. п.1-8-1 (081001)</t>
  </si>
  <si>
    <t>8,4</t>
  </si>
  <si>
    <t>22.1-4-18</t>
  </si>
  <si>
    <t>Вышки телескопические на автомобиле, высота до 12 м, гpузоподъемность до 250 кг (автогидроподъемник типа АГП-18 на шасси ЗИЛ-43362)</t>
  </si>
  <si>
    <t>СН-2012-2018.22. База. п.1-4-18 (042001)</t>
  </si>
  <si>
    <t>8,5</t>
  </si>
  <si>
    <t>22.1-18-7</t>
  </si>
  <si>
    <t>Автомобили грузовые бортовые, грузоподъемность до 5 т (дорожный ремонтер на шасси ЗИЛ-433362)</t>
  </si>
  <si>
    <t>СН-2012-2018.22. База. п.1-18-7 (183001)</t>
  </si>
  <si>
    <t>8,6</t>
  </si>
  <si>
    <t>21.1-20-7</t>
  </si>
  <si>
    <t>Ветошь</t>
  </si>
  <si>
    <t>кг</t>
  </si>
  <si>
    <t>СН-2012-2018.21. База. Р.1, о.20, поз.7</t>
  </si>
  <si>
    <t>занесена вручную</t>
  </si>
  <si>
    <t>9</t>
  </si>
  <si>
    <t>5.3-1101-8-3/1</t>
  </si>
  <si>
    <t>Очистка информационных стендов от старых объявлений</t>
  </si>
  <si>
    <t>10 м2</t>
  </si>
  <si>
    <t>СН-2012-2018.5. База. Сб.3-1101-8-3/1</t>
  </si>
  <si>
    <t>10</t>
  </si>
  <si>
    <t>3.1-1101-32-2/1</t>
  </si>
  <si>
    <t>Уборка инженерных сооружений в летний период (промывка перильного ограждения и мачт освещения)</t>
  </si>
  <si>
    <t>100 м2</t>
  </si>
  <si>
    <t>СН-2012-2018.3. База. Сб.1-1101-32-2/1</t>
  </si>
  <si>
    <t>11</t>
  </si>
  <si>
    <t>1.21-3106-14-1/1</t>
  </si>
  <si>
    <t>Испытание кабелей силовых напряжением до 10 кВ</t>
  </si>
  <si>
    <t>испытание</t>
  </si>
  <si>
    <t>СН-2012-2018.1. База. Сб.21-3106-14-1/1</t>
  </si>
  <si>
    <t>Уровень цен на 01.01.2018 г</t>
  </si>
  <si>
    <t>_OBSM_</t>
  </si>
  <si>
    <t>Трудозатраты рабочих</t>
  </si>
  <si>
    <t>Вышки телескопические на автомобиле, высота до 12 м, гpузоподъемность до 250 кг</t>
  </si>
  <si>
    <t>21.1-20-10</t>
  </si>
  <si>
    <t>СН-2012-2018.21. База. Р.1, о.20, поз.10</t>
  </si>
  <si>
    <t>Лента изоляционная хлопчатобумажная</t>
  </si>
  <si>
    <t>21.1-4-3</t>
  </si>
  <si>
    <t>Бензин</t>
  </si>
  <si>
    <t>21.1-6-139</t>
  </si>
  <si>
    <t>СН-2012-2018.21. База. Р.1, о.6, поз.139</t>
  </si>
  <si>
    <t>Эмаль, марка ПФ-115 (цветная), пентафталевая</t>
  </si>
  <si>
    <t>21.1-16-10</t>
  </si>
  <si>
    <t>Ацетон синтетический технический</t>
  </si>
  <si>
    <t>21.1-25-13</t>
  </si>
  <si>
    <t>СН-2012-2018.21. База. Р.1, о.25, поз.13</t>
  </si>
  <si>
    <t>Вода</t>
  </si>
  <si>
    <t>м3</t>
  </si>
  <si>
    <t>22.1-11-72</t>
  </si>
  <si>
    <t>СН-2012-2018.22. База. п.1-11-72 (115701)</t>
  </si>
  <si>
    <t>Насосы высокого давления типа "Керхер"</t>
  </si>
  <si>
    <t>22.1-5-18</t>
  </si>
  <si>
    <t>СН-2012-2018.22. База. п.1-5-18 (050902)</t>
  </si>
  <si>
    <t>Поливомоечные машины, емкость цистерны более 5000 л</t>
  </si>
  <si>
    <t>"СОГЛАСОВАНО"</t>
  </si>
  <si>
    <t>"УТВЕРЖДАЮ"</t>
  </si>
  <si>
    <t>(локальный сметный расчет)</t>
  </si>
  <si>
    <t>(наименование работ и затрат, наименование объекта)</t>
  </si>
  <si>
    <t>Сметная стоимость</t>
  </si>
  <si>
    <t>тыс.руб</t>
  </si>
  <si>
    <t>Строительные работы</t>
  </si>
  <si>
    <t>Монтажные работы</t>
  </si>
  <si>
    <t>Оборудование</t>
  </si>
  <si>
    <t>Прочие работы</t>
  </si>
  <si>
    <t>Средства на оплату труда</t>
  </si>
  <si>
    <t>№№ п/п</t>
  </si>
  <si>
    <t>Шифр расценки и коды ресурсов</t>
  </si>
  <si>
    <t>Наименование работ и затрат</t>
  </si>
  <si>
    <t>Единица измерения</t>
  </si>
  <si>
    <t>Кол-во единиц</t>
  </si>
  <si>
    <t>Цена на ед. изм. руб.</t>
  </si>
  <si>
    <t>Попра-вочные коэфф.</t>
  </si>
  <si>
    <t>Коэфф. зимних удоро-жаний</t>
  </si>
  <si>
    <t>Коэфф. пересчета</t>
  </si>
  <si>
    <t>ВСЕГО затрат, руб.</t>
  </si>
  <si>
    <t>Справочно</t>
  </si>
  <si>
    <t>ЗТР, всего чел.-час</t>
  </si>
  <si>
    <t>Ст-ть ед. с начислен.</t>
  </si>
  <si>
    <t>Составлен(а) в уровне текущих (прогнозных) цен январь 2018 года</t>
  </si>
  <si>
    <t>ЗП</t>
  </si>
  <si>
    <t>ЭМ</t>
  </si>
  <si>
    <t>в т.ч. ЗПМ</t>
  </si>
  <si>
    <t>МР</t>
  </si>
  <si>
    <t>НР от ЗП</t>
  </si>
  <si>
    <t>%</t>
  </si>
  <si>
    <t>СП от ЗП</t>
  </si>
  <si>
    <t>НР и СП от ЗПМ</t>
  </si>
  <si>
    <t>ЗТР</t>
  </si>
  <si>
    <t>чел-ч</t>
  </si>
  <si>
    <t>Техническая эксплуатация наружного освещения на территории ИЦ "Сколково"</t>
  </si>
  <si>
    <t>Приложение №10 к Регламенту технической эксплуатации наружного освещения на территории ИЦ "Сколково"</t>
  </si>
  <si>
    <t>НДС-18%</t>
  </si>
  <si>
    <t>Итого с НДС-18%</t>
  </si>
  <si>
    <t>Т.О. Ащепкова</t>
  </si>
  <si>
    <t>Инженер-сметчик Дирекции по эксплуатации и содержанию объектов</t>
  </si>
  <si>
    <t xml:space="preserve">Техническая эксплуатация наружного освещения на территории ИЦ "Сколково" </t>
  </si>
  <si>
    <t>Л.И. Волмаер</t>
  </si>
  <si>
    <t>Руководитель Управления по ценообразованию и сметной работе</t>
  </si>
  <si>
    <t>Приложение №3 к Догововру №_______________ от _____________</t>
  </si>
  <si>
    <t>ООО "ОДПС Сколково"</t>
  </si>
  <si>
    <t>Генеральный директор</t>
  </si>
  <si>
    <t>А.С. Савченко</t>
  </si>
  <si>
    <t>Итого по смете: Техническая эксплуатация наружного освещения на территории ИЦ "Сколково" с учетом коэффициента тендерного снижения К=</t>
  </si>
  <si>
    <t>"_____"________________ 2018 г.</t>
  </si>
  <si>
    <t>Подрядчик</t>
  </si>
  <si>
    <t>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</si>
</sst>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mmmm"/>
    <numFmt numFmtId="165" formatCode="#,##0.00####;[Red]\-\ #,##0.00####"/>
    <numFmt numFmtId="166" formatCode="#,##0.00;[Red]\-\ #,##0.00"/>
    <numFmt numFmtId="167" formatCode="0.000"/>
  </numFmts>
  <fonts count="16" x14ac:knownFonts="1">
    <font>
      <sz val="10"/>
      <name val="Arial"/>
      <charset val="204"/>
    </font>
    <font>
      <b/>
      <sz val="10"/>
      <color indexed="12"/>
      <name val="Arial"/>
      <family val="2"/>
      <charset val="204"/>
    </font>
    <font>
      <b/>
      <sz val="10"/>
      <color indexed="16"/>
      <name val="Arial"/>
      <family val="2"/>
      <charset val="204"/>
    </font>
    <font>
      <b/>
      <sz val="10"/>
      <color indexed="20"/>
      <name val="Arial"/>
      <family val="2"/>
      <charset val="204"/>
    </font>
    <font>
      <b/>
      <sz val="10"/>
      <color indexed="17"/>
      <name val="Arial"/>
      <family val="2"/>
      <charset val="204"/>
    </font>
    <font>
      <sz val="10"/>
      <color indexed="12"/>
      <name val="Arial"/>
      <family val="2"/>
      <charset val="204"/>
    </font>
    <font>
      <sz val="10"/>
      <color indexed="14"/>
      <name val="Arial"/>
      <family val="2"/>
      <charset val="204"/>
    </font>
    <font>
      <b/>
      <sz val="10"/>
      <color indexed="14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3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i/>
      <sz val="11"/>
      <name val="Arial"/>
      <family val="2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9" fillId="0" borderId="0" xfId="0" applyFont="1" applyAlignment="1">
      <alignment horizontal="right"/>
    </xf>
    <xf numFmtId="0" fontId="9" fillId="0" borderId="0" xfId="0" applyFont="1"/>
    <xf numFmtId="0" fontId="10" fillId="0" borderId="0" xfId="0" applyFont="1" applyAlignment="1"/>
    <xf numFmtId="0" fontId="9" fillId="0" borderId="0" xfId="0" applyFont="1" applyAlignment="1"/>
    <xf numFmtId="0" fontId="9" fillId="0" borderId="0" xfId="0" applyFont="1" applyBorder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Border="1" applyAlignment="1">
      <alignment wrapText="1"/>
    </xf>
    <xf numFmtId="164" fontId="9" fillId="0" borderId="0" xfId="0" applyNumberFormat="1" applyFont="1"/>
    <xf numFmtId="1" fontId="9" fillId="0" borderId="0" xfId="0" applyNumberFormat="1" applyFont="1"/>
    <xf numFmtId="0" fontId="14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top"/>
    </xf>
    <xf numFmtId="0" fontId="9" fillId="0" borderId="0" xfId="0" applyFont="1" applyAlignment="1">
      <alignment horizontal="left" vertical="top" wrapText="1"/>
    </xf>
    <xf numFmtId="0" fontId="14" fillId="0" borderId="0" xfId="0" applyFont="1" applyAlignment="1">
      <alignment horizontal="right" wrapText="1"/>
    </xf>
    <xf numFmtId="0" fontId="9" fillId="0" borderId="0" xfId="0" applyFont="1" applyAlignment="1">
      <alignment horizontal="right" wrapText="1"/>
    </xf>
    <xf numFmtId="165" fontId="9" fillId="0" borderId="0" xfId="0" applyNumberFormat="1" applyFont="1" applyAlignment="1">
      <alignment horizontal="right"/>
    </xf>
    <xf numFmtId="166" fontId="9" fillId="0" borderId="0" xfId="0" applyNumberFormat="1" applyFont="1" applyAlignment="1">
      <alignment horizontal="right"/>
    </xf>
    <xf numFmtId="166" fontId="14" fillId="0" borderId="0" xfId="0" applyNumberFormat="1" applyFont="1" applyAlignment="1">
      <alignment horizontal="right"/>
    </xf>
    <xf numFmtId="166" fontId="0" fillId="0" borderId="0" xfId="0" applyNumberFormat="1"/>
    <xf numFmtId="0" fontId="15" fillId="0" borderId="0" xfId="0" applyFont="1" applyAlignment="1">
      <alignment horizontal="right"/>
    </xf>
    <xf numFmtId="166" fontId="15" fillId="0" borderId="0" xfId="0" applyNumberFormat="1" applyFont="1" applyAlignment="1">
      <alignment horizontal="right"/>
    </xf>
    <xf numFmtId="0" fontId="0" fillId="0" borderId="5" xfId="0" applyBorder="1"/>
    <xf numFmtId="166" fontId="15" fillId="0" borderId="5" xfId="0" applyNumberFormat="1" applyFont="1" applyBorder="1" applyAlignment="1">
      <alignment horizontal="right"/>
    </xf>
    <xf numFmtId="0" fontId="9" fillId="0" borderId="0" xfId="0" quotePrefix="1" applyFont="1" applyAlignment="1">
      <alignment horizontal="right" wrapText="1"/>
    </xf>
    <xf numFmtId="0" fontId="15" fillId="0" borderId="0" xfId="0" applyFont="1"/>
    <xf numFmtId="0" fontId="15" fillId="0" borderId="0" xfId="0" applyFont="1" applyAlignment="1">
      <alignment horizontal="left" wrapText="1"/>
    </xf>
    <xf numFmtId="167" fontId="9" fillId="0" borderId="0" xfId="0" applyNumberFormat="1" applyFont="1" applyAlignment="1">
      <alignment horizontal="right"/>
    </xf>
    <xf numFmtId="2" fontId="9" fillId="0" borderId="0" xfId="0" applyNumberFormat="1" applyFont="1" applyAlignment="1">
      <alignment horizontal="right"/>
    </xf>
    <xf numFmtId="0" fontId="15" fillId="0" borderId="0" xfId="0" applyFont="1" applyAlignment="1">
      <alignment horizontal="left" wrapText="1"/>
    </xf>
    <xf numFmtId="166" fontId="15" fillId="0" borderId="0" xfId="0" applyNumberFormat="1" applyFont="1" applyAlignment="1">
      <alignment horizontal="right"/>
    </xf>
    <xf numFmtId="0" fontId="15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9" fillId="0" borderId="0" xfId="0" applyFont="1" applyBorder="1"/>
    <xf numFmtId="0" fontId="0" fillId="0" borderId="0" xfId="0" applyBorder="1"/>
    <xf numFmtId="0" fontId="8" fillId="0" borderId="0" xfId="0" applyFont="1" applyBorder="1" applyAlignment="1">
      <alignment horizontal="center"/>
    </xf>
    <xf numFmtId="0" fontId="9" fillId="0" borderId="0" xfId="0" applyFont="1" applyAlignment="1">
      <alignment horizontal="right" vertical="center"/>
    </xf>
    <xf numFmtId="0" fontId="15" fillId="0" borderId="0" xfId="0" applyFont="1" applyAlignment="1">
      <alignment horizontal="left" wrapText="1"/>
    </xf>
    <xf numFmtId="166" fontId="15" fillId="0" borderId="0" xfId="0" applyNumberFormat="1" applyFont="1" applyAlignment="1">
      <alignment horizontal="right"/>
    </xf>
    <xf numFmtId="0" fontId="15" fillId="0" borderId="0" xfId="0" applyFont="1" applyAlignment="1">
      <alignment horizontal="right"/>
    </xf>
    <xf numFmtId="166" fontId="15" fillId="0" borderId="5" xfId="0" applyNumberFormat="1" applyFont="1" applyBorder="1" applyAlignment="1">
      <alignment horizontal="right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left"/>
    </xf>
    <xf numFmtId="166" fontId="9" fillId="0" borderId="0" xfId="0" applyNumberFormat="1" applyFont="1" applyAlignment="1">
      <alignment horizontal="right"/>
    </xf>
    <xf numFmtId="0" fontId="9" fillId="0" borderId="0" xfId="0" applyFont="1" applyAlignment="1">
      <alignment horizontal="right"/>
    </xf>
    <xf numFmtId="0" fontId="13" fillId="0" borderId="1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0" fillId="0" borderId="0" xfId="0" applyAlignment="1"/>
    <xf numFmtId="0" fontId="13" fillId="0" borderId="0" xfId="0" applyFont="1" applyAlignment="1">
      <alignment horizontal="center" wrapText="1"/>
    </xf>
    <xf numFmtId="0" fontId="9" fillId="0" borderId="0" xfId="0" applyFont="1" applyBorder="1" applyAlignment="1">
      <alignment horizontal="left" wrapText="1"/>
    </xf>
    <xf numFmtId="0" fontId="11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horizontal="center" wrapText="1"/>
    </xf>
    <xf numFmtId="0" fontId="9" fillId="0" borderId="0" xfId="0" applyFont="1" applyAlignment="1">
      <alignment horizontal="left" wrapText="1"/>
    </xf>
    <xf numFmtId="0" fontId="1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76"/>
  <sheetViews>
    <sheetView tabSelected="1" zoomScaleNormal="100" workbookViewId="0">
      <selection activeCell="B4" sqref="B4:K10"/>
    </sheetView>
  </sheetViews>
  <sheetFormatPr defaultRowHeight="12.75" x14ac:dyDescent="0.2"/>
  <cols>
    <col min="1" max="1" width="5.7109375" customWidth="1"/>
    <col min="2" max="2" width="11.7109375" customWidth="1"/>
    <col min="3" max="3" width="40.7109375" customWidth="1"/>
    <col min="4" max="6" width="11.7109375" customWidth="1"/>
    <col min="7" max="7" width="12.7109375" customWidth="1"/>
    <col min="9" max="9" width="12.7109375" customWidth="1"/>
    <col min="10" max="10" width="14.140625" customWidth="1"/>
    <col min="11" max="11" width="12.7109375" customWidth="1"/>
    <col min="12" max="12" width="13" customWidth="1"/>
    <col min="15" max="36" width="0" hidden="1" customWidth="1"/>
  </cols>
  <sheetData>
    <row r="1" spans="1:11" x14ac:dyDescent="0.2">
      <c r="G1" t="s">
        <v>218</v>
      </c>
    </row>
    <row r="3" spans="1:11" ht="14.25" x14ac:dyDescent="0.2">
      <c r="A3" s="8"/>
      <c r="B3" s="8"/>
      <c r="C3" s="8"/>
      <c r="D3" s="8"/>
      <c r="E3" s="8"/>
      <c r="F3" s="8"/>
      <c r="G3" s="8"/>
      <c r="H3" s="8"/>
      <c r="I3" s="8"/>
      <c r="J3" s="53"/>
      <c r="K3" s="53"/>
    </row>
    <row r="4" spans="1:11" ht="16.5" x14ac:dyDescent="0.25">
      <c r="A4" s="10"/>
      <c r="B4" s="62" t="s">
        <v>174</v>
      </c>
      <c r="C4" s="62"/>
      <c r="D4" s="62"/>
      <c r="E4" s="62"/>
      <c r="F4" s="9"/>
      <c r="G4" s="62" t="s">
        <v>175</v>
      </c>
      <c r="H4" s="62"/>
      <c r="I4" s="62"/>
      <c r="J4" s="62"/>
      <c r="K4" s="62"/>
    </row>
    <row r="5" spans="1:11" ht="14.25" x14ac:dyDescent="0.2">
      <c r="A5" s="9"/>
      <c r="B5" s="51" t="s">
        <v>224</v>
      </c>
      <c r="C5" s="51"/>
      <c r="D5" s="51"/>
      <c r="E5" s="51"/>
      <c r="F5" s="9"/>
      <c r="G5" s="51" t="s">
        <v>219</v>
      </c>
      <c r="H5" s="51"/>
      <c r="I5" s="51"/>
      <c r="J5" s="51"/>
      <c r="K5" s="51"/>
    </row>
    <row r="6" spans="1:11" ht="14.25" x14ac:dyDescent="0.2">
      <c r="A6" s="11"/>
      <c r="B6" s="11" t="s">
        <v>225</v>
      </c>
      <c r="C6" s="12"/>
      <c r="D6" s="12"/>
      <c r="E6" s="12"/>
      <c r="F6" s="9"/>
      <c r="G6" s="13" t="s">
        <v>220</v>
      </c>
      <c r="H6" s="12"/>
      <c r="I6" s="12"/>
      <c r="J6" s="12"/>
      <c r="K6" s="13"/>
    </row>
    <row r="7" spans="1:11" ht="14.25" x14ac:dyDescent="0.2">
      <c r="A7" s="11"/>
      <c r="B7" s="11"/>
      <c r="C7" s="12"/>
      <c r="D7" s="12"/>
      <c r="E7" s="12"/>
      <c r="F7" s="9"/>
      <c r="G7" s="39" t="s">
        <v>221</v>
      </c>
      <c r="H7" s="12"/>
      <c r="I7" s="12"/>
      <c r="J7" s="12"/>
      <c r="K7" s="39"/>
    </row>
    <row r="8" spans="1:11" ht="14.25" x14ac:dyDescent="0.2">
      <c r="A8" s="11"/>
      <c r="B8" s="11"/>
      <c r="C8" s="12"/>
      <c r="D8" s="12"/>
      <c r="E8" s="12"/>
      <c r="F8" s="9"/>
      <c r="G8" s="39"/>
      <c r="H8" s="12"/>
      <c r="I8" s="12"/>
      <c r="J8" s="12"/>
      <c r="K8" s="39"/>
    </row>
    <row r="9" spans="1:11" ht="14.25" x14ac:dyDescent="0.2">
      <c r="A9" s="13"/>
      <c r="B9" s="51" t="str">
        <f>CONCATENATE("______________________ ", IF(Source!AL12&lt;&gt;"", Source!AL12, ""))</f>
        <v xml:space="preserve">______________________ </v>
      </c>
      <c r="C9" s="51"/>
      <c r="D9" s="51"/>
      <c r="E9" s="51"/>
      <c r="F9" s="9"/>
      <c r="G9" s="51" t="str">
        <f>CONCATENATE("______________________ ", IF(Source!AH12&lt;&gt;"", Source!AH12, ""))</f>
        <v xml:space="preserve">______________________ </v>
      </c>
      <c r="H9" s="51"/>
      <c r="I9" s="51"/>
      <c r="J9" s="51"/>
      <c r="K9" s="51"/>
    </row>
    <row r="10" spans="1:11" ht="14.25" x14ac:dyDescent="0.2">
      <c r="A10" s="14"/>
      <c r="B10" s="58" t="s">
        <v>223</v>
      </c>
      <c r="C10" s="58"/>
      <c r="D10" s="58"/>
      <c r="E10" s="58"/>
      <c r="F10" s="9"/>
      <c r="G10" s="58" t="s">
        <v>223</v>
      </c>
      <c r="H10" s="58"/>
      <c r="I10" s="58"/>
      <c r="J10" s="58"/>
      <c r="K10" s="58"/>
    </row>
    <row r="12" spans="1:11" ht="14.25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</row>
    <row r="13" spans="1:11" ht="15.75" x14ac:dyDescent="0.25">
      <c r="A13" s="59" t="str">
        <f>CONCATENATE( "ЛОКАЛЬНАЯ СМЕТА № ",IF(Source!F20&lt;&gt;"Новая локальная смета", Source!F20, ""))</f>
        <v>ЛОКАЛЬНАЯ СМЕТА № 1</v>
      </c>
      <c r="B13" s="60"/>
      <c r="C13" s="60"/>
      <c r="D13" s="60"/>
      <c r="E13" s="60"/>
      <c r="F13" s="60"/>
      <c r="G13" s="60"/>
      <c r="H13" s="60"/>
      <c r="I13" s="60"/>
      <c r="J13" s="60"/>
      <c r="K13" s="60"/>
    </row>
    <row r="14" spans="1:11" x14ac:dyDescent="0.2">
      <c r="A14" s="55" t="s">
        <v>176</v>
      </c>
      <c r="B14" s="55"/>
      <c r="C14" s="55"/>
      <c r="D14" s="55"/>
      <c r="E14" s="55"/>
      <c r="F14" s="55"/>
      <c r="G14" s="55"/>
      <c r="H14" s="55"/>
      <c r="I14" s="55"/>
      <c r="J14" s="55"/>
      <c r="K14" s="55"/>
    </row>
    <row r="15" spans="1:11" ht="14.25" x14ac:dyDescent="0.2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</row>
    <row r="16" spans="1:11" ht="18" hidden="1" x14ac:dyDescent="0.25">
      <c r="A16" s="57" t="str">
        <f>IF(Source!G20&lt;&gt;"Новая локальная смета", Source!G20, "")</f>
        <v/>
      </c>
      <c r="B16" s="57"/>
      <c r="C16" s="57"/>
      <c r="D16" s="57"/>
      <c r="E16" s="57"/>
      <c r="F16" s="57"/>
      <c r="G16" s="57"/>
      <c r="H16" s="57"/>
      <c r="I16" s="57"/>
      <c r="J16" s="57"/>
      <c r="K16" s="57"/>
    </row>
    <row r="17" spans="1:11" ht="14.25" hidden="1" x14ac:dyDescent="0.2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</row>
    <row r="18" spans="1:11" ht="29.25" customHeight="1" x14ac:dyDescent="0.25">
      <c r="A18" s="54" t="s">
        <v>215</v>
      </c>
      <c r="B18" s="54"/>
      <c r="C18" s="54"/>
      <c r="D18" s="54"/>
      <c r="E18" s="54"/>
      <c r="F18" s="54"/>
      <c r="G18" s="54"/>
      <c r="H18" s="54"/>
      <c r="I18" s="54"/>
      <c r="J18" s="54"/>
      <c r="K18" s="54"/>
    </row>
    <row r="19" spans="1:11" x14ac:dyDescent="0.2">
      <c r="A19" s="55" t="s">
        <v>177</v>
      </c>
      <c r="B19" s="56"/>
      <c r="C19" s="56"/>
      <c r="D19" s="56"/>
      <c r="E19" s="56"/>
      <c r="F19" s="56"/>
      <c r="G19" s="56"/>
      <c r="H19" s="56"/>
      <c r="I19" s="56"/>
      <c r="J19" s="56"/>
      <c r="K19" s="56"/>
    </row>
    <row r="20" spans="1:11" ht="14.25" x14ac:dyDescent="0.2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</row>
    <row r="21" spans="1:11" ht="14.25" x14ac:dyDescent="0.2">
      <c r="A21" s="61" t="str">
        <f>CONCATENATE( "Основание:  ", Source!J20)</f>
        <v>Основание:  Приложение №10 к Регламенту технической эксплуатации наружного освещения на территории ИЦ "Сколково"</v>
      </c>
      <c r="B21" s="61"/>
      <c r="C21" s="61"/>
      <c r="D21" s="61"/>
      <c r="E21" s="61"/>
      <c r="F21" s="61"/>
      <c r="G21" s="61"/>
      <c r="H21" s="61"/>
      <c r="I21" s="61"/>
      <c r="J21" s="61"/>
      <c r="K21" s="61"/>
    </row>
    <row r="22" spans="1:11" ht="14.25" x14ac:dyDescent="0.2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</row>
    <row r="23" spans="1:11" ht="14.25" x14ac:dyDescent="0.2">
      <c r="A23" s="9"/>
      <c r="B23" s="9"/>
      <c r="C23" s="9"/>
      <c r="D23" s="9"/>
      <c r="E23" s="9"/>
      <c r="F23" s="51" t="s">
        <v>178</v>
      </c>
      <c r="G23" s="51"/>
      <c r="H23" s="51"/>
      <c r="I23" s="52">
        <f>(Source!F138/1000)</f>
        <v>10706.822980000001</v>
      </c>
      <c r="J23" s="53"/>
      <c r="K23" s="9" t="s">
        <v>179</v>
      </c>
    </row>
    <row r="24" spans="1:11" ht="14.25" hidden="1" x14ac:dyDescent="0.2">
      <c r="A24" s="9"/>
      <c r="B24" s="9"/>
      <c r="C24" s="9"/>
      <c r="D24" s="9"/>
      <c r="E24" s="9"/>
      <c r="F24" s="51" t="s">
        <v>180</v>
      </c>
      <c r="G24" s="51"/>
      <c r="H24" s="51"/>
      <c r="I24" s="52">
        <f>(Source!F128)/1000</f>
        <v>0</v>
      </c>
      <c r="J24" s="53"/>
      <c r="K24" s="9" t="s">
        <v>179</v>
      </c>
    </row>
    <row r="25" spans="1:11" ht="14.25" hidden="1" x14ac:dyDescent="0.2">
      <c r="A25" s="9"/>
      <c r="B25" s="9"/>
      <c r="C25" s="9"/>
      <c r="D25" s="9"/>
      <c r="E25" s="9"/>
      <c r="F25" s="51" t="s">
        <v>181</v>
      </c>
      <c r="G25" s="51"/>
      <c r="H25" s="51"/>
      <c r="I25" s="52">
        <f>(Source!F129)/1000</f>
        <v>0</v>
      </c>
      <c r="J25" s="53"/>
      <c r="K25" s="9" t="s">
        <v>179</v>
      </c>
    </row>
    <row r="26" spans="1:11" ht="14.25" hidden="1" x14ac:dyDescent="0.2">
      <c r="A26" s="9"/>
      <c r="B26" s="9"/>
      <c r="C26" s="9"/>
      <c r="D26" s="9"/>
      <c r="E26" s="9"/>
      <c r="F26" s="51" t="s">
        <v>182</v>
      </c>
      <c r="G26" s="51"/>
      <c r="H26" s="51"/>
      <c r="I26" s="52">
        <f>(Source!F120)/1000</f>
        <v>0</v>
      </c>
      <c r="J26" s="53"/>
      <c r="K26" s="9" t="s">
        <v>179</v>
      </c>
    </row>
    <row r="27" spans="1:11" ht="14.25" hidden="1" x14ac:dyDescent="0.2">
      <c r="A27" s="9"/>
      <c r="B27" s="9"/>
      <c r="C27" s="9"/>
      <c r="D27" s="9"/>
      <c r="E27" s="9"/>
      <c r="F27" s="51" t="s">
        <v>183</v>
      </c>
      <c r="G27" s="51"/>
      <c r="H27" s="51"/>
      <c r="I27" s="52">
        <f>(Source!F130+Source!F131)/1000</f>
        <v>10706.822980000001</v>
      </c>
      <c r="J27" s="53"/>
      <c r="K27" s="9" t="s">
        <v>179</v>
      </c>
    </row>
    <row r="28" spans="1:11" ht="14.25" x14ac:dyDescent="0.2">
      <c r="A28" s="9"/>
      <c r="B28" s="9"/>
      <c r="C28" s="9"/>
      <c r="D28" s="9"/>
      <c r="E28" s="9"/>
      <c r="F28" s="51" t="s">
        <v>184</v>
      </c>
      <c r="G28" s="51"/>
      <c r="H28" s="51"/>
      <c r="I28" s="52">
        <f>(Source!F126+ Source!F125)/1000</f>
        <v>3868.1288300000001</v>
      </c>
      <c r="J28" s="53"/>
      <c r="K28" s="9" t="s">
        <v>179</v>
      </c>
    </row>
    <row r="29" spans="1:11" ht="14.25" x14ac:dyDescent="0.2">
      <c r="A29" s="9" t="s">
        <v>198</v>
      </c>
      <c r="B29" s="9"/>
      <c r="C29" s="9"/>
      <c r="D29" s="15"/>
      <c r="E29" s="16"/>
      <c r="F29" s="9"/>
      <c r="G29" s="9"/>
      <c r="H29" s="9"/>
      <c r="I29" s="9"/>
      <c r="J29" s="9"/>
      <c r="K29" s="9"/>
    </row>
    <row r="30" spans="1:11" ht="14.25" x14ac:dyDescent="0.2">
      <c r="A30" s="48" t="s">
        <v>185</v>
      </c>
      <c r="B30" s="48" t="s">
        <v>186</v>
      </c>
      <c r="C30" s="48" t="s">
        <v>187</v>
      </c>
      <c r="D30" s="48" t="s">
        <v>188</v>
      </c>
      <c r="E30" s="48" t="s">
        <v>189</v>
      </c>
      <c r="F30" s="48" t="s">
        <v>190</v>
      </c>
      <c r="G30" s="48" t="s">
        <v>191</v>
      </c>
      <c r="H30" s="48" t="s">
        <v>192</v>
      </c>
      <c r="I30" s="48" t="s">
        <v>193</v>
      </c>
      <c r="J30" s="48" t="s">
        <v>194</v>
      </c>
      <c r="K30" s="17" t="s">
        <v>195</v>
      </c>
    </row>
    <row r="31" spans="1:11" ht="28.5" x14ac:dyDescent="0.2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18" t="s">
        <v>196</v>
      </c>
    </row>
    <row r="32" spans="1:11" ht="28.5" x14ac:dyDescent="0.2">
      <c r="A32" s="49"/>
      <c r="B32" s="49"/>
      <c r="C32" s="49"/>
      <c r="D32" s="49"/>
      <c r="E32" s="49"/>
      <c r="F32" s="49"/>
      <c r="G32" s="49"/>
      <c r="H32" s="49"/>
      <c r="I32" s="49"/>
      <c r="J32" s="49"/>
      <c r="K32" s="18" t="s">
        <v>197</v>
      </c>
    </row>
    <row r="33" spans="1:22" ht="14.25" x14ac:dyDescent="0.2">
      <c r="A33" s="18">
        <v>1</v>
      </c>
      <c r="B33" s="18">
        <v>2</v>
      </c>
      <c r="C33" s="18">
        <v>3</v>
      </c>
      <c r="D33" s="18">
        <v>4</v>
      </c>
      <c r="E33" s="18">
        <v>5</v>
      </c>
      <c r="F33" s="18">
        <v>6</v>
      </c>
      <c r="G33" s="18">
        <v>7</v>
      </c>
      <c r="H33" s="18">
        <v>8</v>
      </c>
      <c r="I33" s="18">
        <v>9</v>
      </c>
      <c r="J33" s="18">
        <v>10</v>
      </c>
      <c r="K33" s="18">
        <v>11</v>
      </c>
    </row>
    <row r="35" spans="1:22" ht="16.5" x14ac:dyDescent="0.25">
      <c r="A35" s="50" t="str">
        <f>CONCATENATE("Раздел: ",IF(Source!G24&lt;&gt;"Новый раздел", Source!G24, ""))</f>
        <v>Раздел: Технический осмотр</v>
      </c>
      <c r="B35" s="50"/>
      <c r="C35" s="50"/>
      <c r="D35" s="50"/>
      <c r="E35" s="50"/>
      <c r="F35" s="50"/>
      <c r="G35" s="50"/>
      <c r="H35" s="50"/>
      <c r="I35" s="50"/>
      <c r="J35" s="50"/>
      <c r="K35" s="50"/>
    </row>
    <row r="36" spans="1:22" ht="57" x14ac:dyDescent="0.2">
      <c r="A36" s="19" t="str">
        <f>Source!E28</f>
        <v>1</v>
      </c>
      <c r="B36" s="20" t="str">
        <f>Source!F28</f>
        <v>1.21-2201-3-1/1</v>
      </c>
      <c r="C36" s="20" t="str">
        <f>Source!G28</f>
        <v>Технический осмотр силового распределительного пункта с вводным рубильником и предохранителями, число групп 4</v>
      </c>
      <c r="D36" s="21" t="str">
        <f>Source!H28</f>
        <v>шт.</v>
      </c>
      <c r="E36" s="8">
        <f>Source!I28</f>
        <v>19</v>
      </c>
      <c r="F36" s="23"/>
      <c r="G36" s="22"/>
      <c r="H36" s="8"/>
      <c r="I36" s="8"/>
      <c r="J36" s="24"/>
      <c r="K36" s="24"/>
      <c r="Q36">
        <f>ROUND((Source!BZ28/100)*ROUND((Source!AF28*Source!AV28)*Source!I28, 2), 2)</f>
        <v>2274.3000000000002</v>
      </c>
      <c r="R36">
        <f>Source!X28</f>
        <v>2274.3000000000002</v>
      </c>
      <c r="S36">
        <f>ROUND((Source!CA28/100)*ROUND((Source!AF28*Source!AV28)*Source!I28, 2), 2)</f>
        <v>324.89999999999998</v>
      </c>
      <c r="T36">
        <f>Source!Y28</f>
        <v>324.89999999999998</v>
      </c>
      <c r="U36">
        <f>ROUND((175/100)*ROUND((Source!AE28*Source!AV28)*Source!I28, 2), 2)</f>
        <v>0</v>
      </c>
      <c r="V36">
        <f>ROUND((108/100)*ROUND(Source!CS28*Source!I28, 2), 2)</f>
        <v>0</v>
      </c>
    </row>
    <row r="37" spans="1:22" ht="14.25" x14ac:dyDescent="0.2">
      <c r="A37" s="19"/>
      <c r="B37" s="20"/>
      <c r="C37" s="20" t="s">
        <v>199</v>
      </c>
      <c r="D37" s="21"/>
      <c r="E37" s="8"/>
      <c r="F37" s="23">
        <f>Source!AO28</f>
        <v>42.75</v>
      </c>
      <c r="G37" s="22" t="str">
        <f>Source!DG28</f>
        <v>)*4</v>
      </c>
      <c r="H37" s="8">
        <f>Source!AV28</f>
        <v>1</v>
      </c>
      <c r="I37" s="8">
        <f>IF(Source!BA28&lt;&gt; 0, Source!BA28, 1)</f>
        <v>1</v>
      </c>
      <c r="J37" s="24">
        <f>Source!S28</f>
        <v>3249</v>
      </c>
      <c r="K37" s="24"/>
    </row>
    <row r="38" spans="1:22" ht="14.25" x14ac:dyDescent="0.2">
      <c r="A38" s="19"/>
      <c r="B38" s="20"/>
      <c r="C38" s="20" t="s">
        <v>200</v>
      </c>
      <c r="D38" s="21"/>
      <c r="E38" s="8"/>
      <c r="F38" s="23">
        <f>Source!AM28</f>
        <v>0</v>
      </c>
      <c r="G38" s="22" t="str">
        <f>Source!DE28</f>
        <v>)*4</v>
      </c>
      <c r="H38" s="8">
        <f>Source!AV28</f>
        <v>1</v>
      </c>
      <c r="I38" s="8">
        <f>IF(Source!BB28&lt;&gt; 0, Source!BB28, 1)</f>
        <v>1</v>
      </c>
      <c r="J38" s="24">
        <f>Source!Q28</f>
        <v>0</v>
      </c>
      <c r="K38" s="24"/>
    </row>
    <row r="39" spans="1:22" ht="14.25" x14ac:dyDescent="0.2">
      <c r="A39" s="19"/>
      <c r="B39" s="20"/>
      <c r="C39" s="20" t="s">
        <v>201</v>
      </c>
      <c r="D39" s="21"/>
      <c r="E39" s="8"/>
      <c r="F39" s="23">
        <f>Source!AN28</f>
        <v>0</v>
      </c>
      <c r="G39" s="22" t="str">
        <f>Source!DF28</f>
        <v>)*4</v>
      </c>
      <c r="H39" s="8">
        <f>Source!AV28</f>
        <v>1</v>
      </c>
      <c r="I39" s="8">
        <f>IF(Source!BS28&lt;&gt; 0, Source!BS28, 1)</f>
        <v>1</v>
      </c>
      <c r="J39" s="25">
        <f>Source!R28</f>
        <v>0</v>
      </c>
      <c r="K39" s="24"/>
    </row>
    <row r="40" spans="1:22" ht="14.25" x14ac:dyDescent="0.2">
      <c r="A40" s="19"/>
      <c r="B40" s="20"/>
      <c r="C40" s="20" t="s">
        <v>202</v>
      </c>
      <c r="D40" s="21"/>
      <c r="E40" s="8"/>
      <c r="F40" s="23">
        <f>Source!AL28</f>
        <v>0</v>
      </c>
      <c r="G40" s="22" t="str">
        <f>Source!DD28</f>
        <v>)*4</v>
      </c>
      <c r="H40" s="8">
        <f>Source!AW28</f>
        <v>1</v>
      </c>
      <c r="I40" s="8">
        <f>IF(Source!BC28&lt;&gt; 0, Source!BC28, 1)</f>
        <v>1</v>
      </c>
      <c r="J40" s="24">
        <f>Source!P28</f>
        <v>0</v>
      </c>
      <c r="K40" s="24"/>
    </row>
    <row r="41" spans="1:22" ht="14.25" x14ac:dyDescent="0.2">
      <c r="A41" s="19"/>
      <c r="B41" s="20"/>
      <c r="C41" s="20" t="s">
        <v>203</v>
      </c>
      <c r="D41" s="21" t="s">
        <v>204</v>
      </c>
      <c r="E41" s="8">
        <f>Source!AT28</f>
        <v>70</v>
      </c>
      <c r="F41" s="23"/>
      <c r="G41" s="22"/>
      <c r="H41" s="8"/>
      <c r="I41" s="8"/>
      <c r="J41" s="24">
        <f>SUM(R36:R40)</f>
        <v>2274.3000000000002</v>
      </c>
      <c r="K41" s="24"/>
    </row>
    <row r="42" spans="1:22" ht="14.25" x14ac:dyDescent="0.2">
      <c r="A42" s="19"/>
      <c r="B42" s="20"/>
      <c r="C42" s="20" t="s">
        <v>205</v>
      </c>
      <c r="D42" s="21" t="s">
        <v>204</v>
      </c>
      <c r="E42" s="8">
        <f>Source!AU28</f>
        <v>10</v>
      </c>
      <c r="F42" s="23"/>
      <c r="G42" s="22"/>
      <c r="H42" s="8"/>
      <c r="I42" s="8"/>
      <c r="J42" s="24">
        <f>SUM(T36:T41)</f>
        <v>324.89999999999998</v>
      </c>
      <c r="K42" s="24"/>
    </row>
    <row r="43" spans="1:22" ht="14.25" x14ac:dyDescent="0.2">
      <c r="A43" s="19"/>
      <c r="B43" s="20"/>
      <c r="C43" s="20" t="s">
        <v>206</v>
      </c>
      <c r="D43" s="21" t="s">
        <v>204</v>
      </c>
      <c r="E43" s="8">
        <f>108</f>
        <v>108</v>
      </c>
      <c r="F43" s="23"/>
      <c r="G43" s="22"/>
      <c r="H43" s="8"/>
      <c r="I43" s="8"/>
      <c r="J43" s="24">
        <f>SUM(V36:V42)</f>
        <v>0</v>
      </c>
      <c r="K43" s="24"/>
    </row>
    <row r="44" spans="1:22" ht="14.25" x14ac:dyDescent="0.2">
      <c r="A44" s="19"/>
      <c r="B44" s="20"/>
      <c r="C44" s="20" t="s">
        <v>207</v>
      </c>
      <c r="D44" s="21" t="s">
        <v>208</v>
      </c>
      <c r="E44" s="8">
        <f>Source!AQ28</f>
        <v>0.2</v>
      </c>
      <c r="F44" s="23"/>
      <c r="G44" s="22" t="str">
        <f>Source!DI28</f>
        <v>)*4</v>
      </c>
      <c r="H44" s="8">
        <f>Source!AV28</f>
        <v>1</v>
      </c>
      <c r="I44" s="8"/>
      <c r="J44" s="24"/>
      <c r="K44" s="24">
        <f>Source!U28</f>
        <v>7.6000000000000005</v>
      </c>
    </row>
    <row r="45" spans="1:22" ht="15" x14ac:dyDescent="0.25">
      <c r="A45" s="29"/>
      <c r="B45" s="29"/>
      <c r="C45" s="29"/>
      <c r="D45" s="29"/>
      <c r="E45" s="29"/>
      <c r="F45" s="29"/>
      <c r="G45" s="29"/>
      <c r="H45" s="29"/>
      <c r="I45" s="47">
        <f>J37+J38+J40+J41+J42+J43</f>
        <v>5848.2</v>
      </c>
      <c r="J45" s="47"/>
      <c r="K45" s="30">
        <f>IF(Source!I28&lt;&gt;0, ROUND(I45/Source!I28, 2), 0)</f>
        <v>307.8</v>
      </c>
      <c r="P45" s="26">
        <f>I45</f>
        <v>5848.2</v>
      </c>
    </row>
    <row r="46" spans="1:22" ht="42.75" x14ac:dyDescent="0.2">
      <c r="A46" s="19" t="str">
        <f>Source!E29</f>
        <v>2</v>
      </c>
      <c r="B46" s="20" t="str">
        <f>Source!F29</f>
        <v>2.9-2101-1-2/1</v>
      </c>
      <c r="C46" s="20" t="str">
        <f>Source!G29</f>
        <v>Технический осмотр кабельных линий до 10 кВ, проложенных в земле, кабель сечением 16-35 мм2</v>
      </c>
      <c r="D46" s="21" t="str">
        <f>Source!H29</f>
        <v>км</v>
      </c>
      <c r="E46" s="8">
        <f>Source!I29</f>
        <v>42.890999999999998</v>
      </c>
      <c r="F46" s="23"/>
      <c r="G46" s="22"/>
      <c r="H46" s="8"/>
      <c r="I46" s="8"/>
      <c r="J46" s="24"/>
      <c r="K46" s="24"/>
      <c r="Q46">
        <f>ROUND((Source!BZ29/100)*ROUND((Source!AF29*Source!AV29)*Source!I29, 2), 2)</f>
        <v>10235.68</v>
      </c>
      <c r="R46">
        <f>Source!X29</f>
        <v>10235.68</v>
      </c>
      <c r="S46">
        <f>ROUND((Source!CA29/100)*ROUND((Source!AF29*Source!AV29)*Source!I29, 2), 2)</f>
        <v>1462.24</v>
      </c>
      <c r="T46">
        <f>Source!Y29</f>
        <v>1462.24</v>
      </c>
      <c r="U46">
        <f>ROUND((175/100)*ROUND((Source!AE29*Source!AV29)*Source!I29, 2), 2)</f>
        <v>0</v>
      </c>
      <c r="V46">
        <f>ROUND((108/100)*ROUND(Source!CS29*Source!I29, 2), 2)</f>
        <v>0</v>
      </c>
    </row>
    <row r="47" spans="1:22" ht="14.25" x14ac:dyDescent="0.2">
      <c r="A47" s="19"/>
      <c r="B47" s="20"/>
      <c r="C47" s="20" t="s">
        <v>199</v>
      </c>
      <c r="D47" s="21"/>
      <c r="E47" s="8"/>
      <c r="F47" s="23">
        <f>Source!AO29</f>
        <v>85.23</v>
      </c>
      <c r="G47" s="22" t="str">
        <f>Source!DG29</f>
        <v>)*4</v>
      </c>
      <c r="H47" s="8">
        <f>Source!AV29</f>
        <v>1</v>
      </c>
      <c r="I47" s="8">
        <f>IF(Source!BA29&lt;&gt; 0, Source!BA29, 1)</f>
        <v>1</v>
      </c>
      <c r="J47" s="24">
        <f>Source!S29</f>
        <v>14622.4</v>
      </c>
      <c r="K47" s="24"/>
    </row>
    <row r="48" spans="1:22" ht="14.25" x14ac:dyDescent="0.2">
      <c r="A48" s="19"/>
      <c r="B48" s="20"/>
      <c r="C48" s="20" t="s">
        <v>200</v>
      </c>
      <c r="D48" s="21"/>
      <c r="E48" s="8"/>
      <c r="F48" s="23">
        <f>Source!AM29</f>
        <v>0</v>
      </c>
      <c r="G48" s="22" t="str">
        <f>Source!DE29</f>
        <v>)*4</v>
      </c>
      <c r="H48" s="8">
        <f>Source!AV29</f>
        <v>1</v>
      </c>
      <c r="I48" s="8">
        <f>IF(Source!BB29&lt;&gt; 0, Source!BB29, 1)</f>
        <v>1</v>
      </c>
      <c r="J48" s="24">
        <f>Source!Q29</f>
        <v>0</v>
      </c>
      <c r="K48" s="24"/>
    </row>
    <row r="49" spans="1:22" ht="14.25" x14ac:dyDescent="0.2">
      <c r="A49" s="19"/>
      <c r="B49" s="20"/>
      <c r="C49" s="20" t="s">
        <v>201</v>
      </c>
      <c r="D49" s="21"/>
      <c r="E49" s="8"/>
      <c r="F49" s="23">
        <f>Source!AN29</f>
        <v>0</v>
      </c>
      <c r="G49" s="22" t="str">
        <f>Source!DF29</f>
        <v>)*4</v>
      </c>
      <c r="H49" s="8">
        <f>Source!AV29</f>
        <v>1</v>
      </c>
      <c r="I49" s="8">
        <f>IF(Source!BS29&lt;&gt; 0, Source!BS29, 1)</f>
        <v>1</v>
      </c>
      <c r="J49" s="25">
        <f>Source!R29</f>
        <v>0</v>
      </c>
      <c r="K49" s="24"/>
    </row>
    <row r="50" spans="1:22" ht="14.25" x14ac:dyDescent="0.2">
      <c r="A50" s="19"/>
      <c r="B50" s="20"/>
      <c r="C50" s="20" t="s">
        <v>202</v>
      </c>
      <c r="D50" s="21"/>
      <c r="E50" s="8"/>
      <c r="F50" s="23">
        <f>Source!AL29</f>
        <v>0</v>
      </c>
      <c r="G50" s="22" t="str">
        <f>Source!DD29</f>
        <v>)*4</v>
      </c>
      <c r="H50" s="8">
        <f>Source!AW29</f>
        <v>1</v>
      </c>
      <c r="I50" s="8">
        <f>IF(Source!BC29&lt;&gt; 0, Source!BC29, 1)</f>
        <v>1</v>
      </c>
      <c r="J50" s="24">
        <f>Source!P29</f>
        <v>0</v>
      </c>
      <c r="K50" s="24"/>
    </row>
    <row r="51" spans="1:22" ht="14.25" x14ac:dyDescent="0.2">
      <c r="A51" s="19"/>
      <c r="B51" s="20"/>
      <c r="C51" s="20" t="s">
        <v>203</v>
      </c>
      <c r="D51" s="21" t="s">
        <v>204</v>
      </c>
      <c r="E51" s="8">
        <f>Source!AT29</f>
        <v>70</v>
      </c>
      <c r="F51" s="23"/>
      <c r="G51" s="22"/>
      <c r="H51" s="8"/>
      <c r="I51" s="8"/>
      <c r="J51" s="24">
        <f>SUM(R46:R50)</f>
        <v>10235.68</v>
      </c>
      <c r="K51" s="24"/>
    </row>
    <row r="52" spans="1:22" ht="14.25" x14ac:dyDescent="0.2">
      <c r="A52" s="19"/>
      <c r="B52" s="20"/>
      <c r="C52" s="20" t="s">
        <v>205</v>
      </c>
      <c r="D52" s="21" t="s">
        <v>204</v>
      </c>
      <c r="E52" s="8">
        <f>Source!AU29</f>
        <v>10</v>
      </c>
      <c r="F52" s="23"/>
      <c r="G52" s="22"/>
      <c r="H52" s="8"/>
      <c r="I52" s="8"/>
      <c r="J52" s="24">
        <f>SUM(T46:T51)</f>
        <v>1462.24</v>
      </c>
      <c r="K52" s="24"/>
    </row>
    <row r="53" spans="1:22" ht="14.25" x14ac:dyDescent="0.2">
      <c r="A53" s="19"/>
      <c r="B53" s="20"/>
      <c r="C53" s="20" t="s">
        <v>206</v>
      </c>
      <c r="D53" s="21" t="s">
        <v>204</v>
      </c>
      <c r="E53" s="8">
        <f>108</f>
        <v>108</v>
      </c>
      <c r="F53" s="23"/>
      <c r="G53" s="22"/>
      <c r="H53" s="8"/>
      <c r="I53" s="8"/>
      <c r="J53" s="24">
        <f>SUM(V46:V52)</f>
        <v>0</v>
      </c>
      <c r="K53" s="24"/>
    </row>
    <row r="54" spans="1:22" ht="14.25" x14ac:dyDescent="0.2">
      <c r="A54" s="19"/>
      <c r="B54" s="20"/>
      <c r="C54" s="20" t="s">
        <v>207</v>
      </c>
      <c r="D54" s="21" t="s">
        <v>208</v>
      </c>
      <c r="E54" s="8">
        <f>Source!AQ29</f>
        <v>0.46</v>
      </c>
      <c r="F54" s="23"/>
      <c r="G54" s="22" t="str">
        <f>Source!DI29</f>
        <v>)*4</v>
      </c>
      <c r="H54" s="8">
        <f>Source!AV29</f>
        <v>1</v>
      </c>
      <c r="I54" s="8"/>
      <c r="J54" s="24"/>
      <c r="K54" s="24">
        <f>Source!U29</f>
        <v>39.459719999999997</v>
      </c>
    </row>
    <row r="55" spans="1:22" ht="15" x14ac:dyDescent="0.25">
      <c r="A55" s="29"/>
      <c r="B55" s="29"/>
      <c r="C55" s="29"/>
      <c r="D55" s="29"/>
      <c r="E55" s="29"/>
      <c r="F55" s="29"/>
      <c r="G55" s="29"/>
      <c r="H55" s="29"/>
      <c r="I55" s="47">
        <f>J47+J48+J50+J51+J52+J53</f>
        <v>26320.320000000003</v>
      </c>
      <c r="J55" s="47"/>
      <c r="K55" s="30">
        <f>IF(Source!I29&lt;&gt;0, ROUND(I55/Source!I29, 2), 0)</f>
        <v>613.66</v>
      </c>
      <c r="P55" s="26">
        <f>I55</f>
        <v>26320.320000000003</v>
      </c>
    </row>
    <row r="56" spans="1:22" ht="42.75" x14ac:dyDescent="0.2">
      <c r="A56" s="19" t="str">
        <f>Source!E30</f>
        <v>3</v>
      </c>
      <c r="B56" s="20" t="str">
        <f>Source!F30</f>
        <v>2.10-2101-1-1/1</v>
      </c>
      <c r="C56" s="20" t="str">
        <f>Source!G30</f>
        <v>Технический осмотр светильников наружного освещения с лампами ДРЛ, ДРИ</v>
      </c>
      <c r="D56" s="21" t="str">
        <f>Source!H30</f>
        <v>10 шт.</v>
      </c>
      <c r="E56" s="8">
        <f>Source!I30</f>
        <v>140.19999999999999</v>
      </c>
      <c r="F56" s="23"/>
      <c r="G56" s="22"/>
      <c r="H56" s="8"/>
      <c r="I56" s="8"/>
      <c r="J56" s="24"/>
      <c r="K56" s="24"/>
      <c r="Q56">
        <f>ROUND((Source!BZ30/100)*ROUND((Source!AF30*Source!AV30)*Source!I30, 2), 2)</f>
        <v>521869.26</v>
      </c>
      <c r="R56">
        <f>Source!X30</f>
        <v>521869.26</v>
      </c>
      <c r="S56">
        <f>ROUND((Source!CA30/100)*ROUND((Source!AF30*Source!AV30)*Source!I30, 2), 2)</f>
        <v>74552.75</v>
      </c>
      <c r="T56">
        <f>Source!Y30</f>
        <v>74552.75</v>
      </c>
      <c r="U56">
        <f>ROUND((175/100)*ROUND((Source!AE30*Source!AV30)*Source!I30, 2), 2)</f>
        <v>2171975.59</v>
      </c>
      <c r="V56">
        <f>ROUND((108/100)*ROUND(Source!CS30*Source!I30, 2), 2)</f>
        <v>1340419.22</v>
      </c>
    </row>
    <row r="57" spans="1:22" ht="14.25" x14ac:dyDescent="0.2">
      <c r="A57" s="19"/>
      <c r="B57" s="20"/>
      <c r="C57" s="20" t="s">
        <v>199</v>
      </c>
      <c r="D57" s="21"/>
      <c r="E57" s="8"/>
      <c r="F57" s="23">
        <f>Source!AO30</f>
        <v>1329.4</v>
      </c>
      <c r="G57" s="22" t="str">
        <f>Source!DG30</f>
        <v>)*4</v>
      </c>
      <c r="H57" s="8">
        <f>Source!AV30</f>
        <v>1</v>
      </c>
      <c r="I57" s="8">
        <f>IF(Source!BA30&lt;&gt; 0, Source!BA30, 1)</f>
        <v>1</v>
      </c>
      <c r="J57" s="24">
        <f>Source!S30</f>
        <v>745527.52</v>
      </c>
      <c r="K57" s="24"/>
    </row>
    <row r="58" spans="1:22" ht="14.25" x14ac:dyDescent="0.2">
      <c r="A58" s="19"/>
      <c r="B58" s="20"/>
      <c r="C58" s="20" t="s">
        <v>200</v>
      </c>
      <c r="D58" s="21"/>
      <c r="E58" s="8"/>
      <c r="F58" s="23">
        <f>Source!AM30</f>
        <v>5235.62</v>
      </c>
      <c r="G58" s="22" t="str">
        <f>Source!DE30</f>
        <v>)*4</v>
      </c>
      <c r="H58" s="8">
        <f>Source!AV30</f>
        <v>1</v>
      </c>
      <c r="I58" s="8">
        <f>IF(Source!BB30&lt;&gt; 0, Source!BB30, 1)</f>
        <v>1</v>
      </c>
      <c r="J58" s="24">
        <f>Source!Q30</f>
        <v>2936135.7</v>
      </c>
      <c r="K58" s="24"/>
    </row>
    <row r="59" spans="1:22" ht="14.25" x14ac:dyDescent="0.2">
      <c r="A59" s="19"/>
      <c r="B59" s="20"/>
      <c r="C59" s="20" t="s">
        <v>201</v>
      </c>
      <c r="D59" s="21"/>
      <c r="E59" s="8"/>
      <c r="F59" s="23">
        <f>Source!AN30</f>
        <v>2213.14</v>
      </c>
      <c r="G59" s="22" t="str">
        <f>Source!DF30</f>
        <v>)*4</v>
      </c>
      <c r="H59" s="8">
        <f>Source!AV30</f>
        <v>1</v>
      </c>
      <c r="I59" s="8">
        <f>IF(Source!BS30&lt;&gt; 0, Source!BS30, 1)</f>
        <v>1</v>
      </c>
      <c r="J59" s="25">
        <f>Source!R30</f>
        <v>1241128.92</v>
      </c>
      <c r="K59" s="24"/>
    </row>
    <row r="60" spans="1:22" ht="14.25" x14ac:dyDescent="0.2">
      <c r="A60" s="19"/>
      <c r="B60" s="20"/>
      <c r="C60" s="20" t="s">
        <v>202</v>
      </c>
      <c r="D60" s="21"/>
      <c r="E60" s="8"/>
      <c r="F60" s="23">
        <f>Source!AL30</f>
        <v>0.28999999999999998</v>
      </c>
      <c r="G60" s="22" t="str">
        <f>Source!DD30</f>
        <v>)*4</v>
      </c>
      <c r="H60" s="8">
        <f>Source!AW30</f>
        <v>1</v>
      </c>
      <c r="I60" s="8">
        <f>IF(Source!BC30&lt;&gt; 0, Source!BC30, 1)</f>
        <v>1</v>
      </c>
      <c r="J60" s="24">
        <f>Source!P30</f>
        <v>162.63999999999999</v>
      </c>
      <c r="K60" s="24"/>
    </row>
    <row r="61" spans="1:22" ht="14.25" x14ac:dyDescent="0.2">
      <c r="A61" s="19"/>
      <c r="B61" s="20"/>
      <c r="C61" s="20" t="s">
        <v>203</v>
      </c>
      <c r="D61" s="21" t="s">
        <v>204</v>
      </c>
      <c r="E61" s="8">
        <f>Source!AT30</f>
        <v>70</v>
      </c>
      <c r="F61" s="23"/>
      <c r="G61" s="22"/>
      <c r="H61" s="8"/>
      <c r="I61" s="8"/>
      <c r="J61" s="24">
        <f>SUM(R56:R60)</f>
        <v>521869.26</v>
      </c>
      <c r="K61" s="24"/>
    </row>
    <row r="62" spans="1:22" ht="14.25" x14ac:dyDescent="0.2">
      <c r="A62" s="19"/>
      <c r="B62" s="20"/>
      <c r="C62" s="20" t="s">
        <v>205</v>
      </c>
      <c r="D62" s="21" t="s">
        <v>204</v>
      </c>
      <c r="E62" s="8">
        <f>Source!AU30</f>
        <v>10</v>
      </c>
      <c r="F62" s="23"/>
      <c r="G62" s="22"/>
      <c r="H62" s="8"/>
      <c r="I62" s="8"/>
      <c r="J62" s="24">
        <f>SUM(T56:T61)+0.01</f>
        <v>74552.759999999995</v>
      </c>
      <c r="K62" s="24"/>
    </row>
    <row r="63" spans="1:22" ht="14.25" x14ac:dyDescent="0.2">
      <c r="A63" s="19"/>
      <c r="B63" s="20"/>
      <c r="C63" s="20" t="s">
        <v>206</v>
      </c>
      <c r="D63" s="21" t="s">
        <v>204</v>
      </c>
      <c r="E63" s="8">
        <f>108</f>
        <v>108</v>
      </c>
      <c r="F63" s="23"/>
      <c r="G63" s="22"/>
      <c r="H63" s="8"/>
      <c r="I63" s="8"/>
      <c r="J63" s="24">
        <f>SUM(V56:V62)+0.02</f>
        <v>1340419.24</v>
      </c>
      <c r="K63" s="24"/>
    </row>
    <row r="64" spans="1:22" ht="14.25" x14ac:dyDescent="0.2">
      <c r="A64" s="19"/>
      <c r="B64" s="20"/>
      <c r="C64" s="20" t="s">
        <v>207</v>
      </c>
      <c r="D64" s="21" t="s">
        <v>208</v>
      </c>
      <c r="E64" s="8">
        <f>Source!AQ30</f>
        <v>6.22</v>
      </c>
      <c r="F64" s="23"/>
      <c r="G64" s="22" t="str">
        <f>Source!DI30</f>
        <v>)*4</v>
      </c>
      <c r="H64" s="8">
        <f>Source!AV30</f>
        <v>1</v>
      </c>
      <c r="I64" s="8"/>
      <c r="J64" s="24"/>
      <c r="K64" s="24">
        <f>Source!U30</f>
        <v>3488.1759999999995</v>
      </c>
    </row>
    <row r="65" spans="1:22" ht="15" x14ac:dyDescent="0.25">
      <c r="A65" s="29"/>
      <c r="B65" s="29"/>
      <c r="C65" s="29"/>
      <c r="D65" s="29"/>
      <c r="E65" s="29"/>
      <c r="F65" s="29"/>
      <c r="G65" s="29"/>
      <c r="H65" s="29"/>
      <c r="I65" s="47">
        <f>J57+J58+J60+J61+J62+J63</f>
        <v>5618667.1200000001</v>
      </c>
      <c r="J65" s="47"/>
      <c r="K65" s="30">
        <f>IF(Source!I30&lt;&gt;0, ROUND(I65/Source!I30, 2), 0)</f>
        <v>40076.089999999997</v>
      </c>
      <c r="P65" s="26">
        <f>I65</f>
        <v>5618667.1200000001</v>
      </c>
    </row>
    <row r="66" spans="1:22" ht="28.5" x14ac:dyDescent="0.2">
      <c r="A66" s="19" t="str">
        <f>Source!E31</f>
        <v>4</v>
      </c>
      <c r="B66" s="20" t="str">
        <f>Source!F31</f>
        <v>калькуляция №1</v>
      </c>
      <c r="C66" s="20" t="str">
        <f>Source!G31</f>
        <v>Технический осмотр опор освещения</v>
      </c>
      <c r="D66" s="21" t="str">
        <f>Source!H31</f>
        <v>шт.</v>
      </c>
      <c r="E66" s="8">
        <f>Source!I31</f>
        <v>972</v>
      </c>
      <c r="F66" s="23"/>
      <c r="G66" s="22"/>
      <c r="H66" s="8"/>
      <c r="I66" s="8"/>
      <c r="J66" s="24"/>
      <c r="K66" s="24"/>
      <c r="Q66">
        <f>ROUND((Source!BZ31/100)*ROUND((Source!AF31*Source!AV31)*Source!I31, 2), 2)</f>
        <v>0</v>
      </c>
      <c r="R66">
        <f>Source!X31</f>
        <v>0</v>
      </c>
      <c r="S66">
        <f>ROUND((Source!CA31/100)*ROUND((Source!AF31*Source!AV31)*Source!I31, 2), 2)</f>
        <v>0</v>
      </c>
      <c r="T66">
        <f>Source!Y31</f>
        <v>0</v>
      </c>
      <c r="U66">
        <f>ROUND((175/100)*ROUND((Source!AE31*Source!AV31)*Source!I31, 2), 2)</f>
        <v>0</v>
      </c>
      <c r="V66">
        <f>ROUND((108/100)*ROUND(Source!CS31*Source!I31, 2), 2)</f>
        <v>0</v>
      </c>
    </row>
    <row r="67" spans="1:22" ht="14.25" x14ac:dyDescent="0.2">
      <c r="A67" s="19"/>
      <c r="B67" s="20"/>
      <c r="C67" s="20" t="s">
        <v>199</v>
      </c>
      <c r="D67" s="21"/>
      <c r="E67" s="8"/>
      <c r="F67" s="23">
        <f>Source!AO31</f>
        <v>0</v>
      </c>
      <c r="G67" s="22" t="str">
        <f>Source!DG31</f>
        <v>)*4</v>
      </c>
      <c r="H67" s="8">
        <f>Source!AV31</f>
        <v>1</v>
      </c>
      <c r="I67" s="8">
        <f>IF(Source!BA31&lt;&gt; 0, Source!BA31, 1)</f>
        <v>1</v>
      </c>
      <c r="J67" s="24">
        <f>Source!S31</f>
        <v>0</v>
      </c>
      <c r="K67" s="24"/>
    </row>
    <row r="68" spans="1:22" ht="14.25" x14ac:dyDescent="0.2">
      <c r="A68" s="19"/>
      <c r="B68" s="20"/>
      <c r="C68" s="20" t="s">
        <v>200</v>
      </c>
      <c r="D68" s="21"/>
      <c r="E68" s="8"/>
      <c r="F68" s="23">
        <f>Source!AM31</f>
        <v>0</v>
      </c>
      <c r="G68" s="22" t="str">
        <f>Source!DE31</f>
        <v>)*4</v>
      </c>
      <c r="H68" s="8">
        <f>Source!AV31</f>
        <v>1</v>
      </c>
      <c r="I68" s="8">
        <f>IF(Source!BB31&lt;&gt; 0, Source!BB31, 1)</f>
        <v>1</v>
      </c>
      <c r="J68" s="24">
        <f>Source!Q31</f>
        <v>0</v>
      </c>
      <c r="K68" s="24"/>
    </row>
    <row r="69" spans="1:22" ht="14.25" x14ac:dyDescent="0.2">
      <c r="A69" s="19"/>
      <c r="B69" s="20"/>
      <c r="C69" s="20" t="s">
        <v>201</v>
      </c>
      <c r="D69" s="21"/>
      <c r="E69" s="8"/>
      <c r="F69" s="23">
        <f>Source!AN31</f>
        <v>0</v>
      </c>
      <c r="G69" s="22" t="str">
        <f>Source!DF31</f>
        <v>)*4</v>
      </c>
      <c r="H69" s="8">
        <f>Source!AV31</f>
        <v>1</v>
      </c>
      <c r="I69" s="8">
        <f>IF(Source!BS31&lt;&gt; 0, Source!BS31, 1)</f>
        <v>1</v>
      </c>
      <c r="J69" s="25">
        <f>Source!R31</f>
        <v>0</v>
      </c>
      <c r="K69" s="24"/>
    </row>
    <row r="70" spans="1:22" ht="14.25" x14ac:dyDescent="0.2">
      <c r="A70" s="19"/>
      <c r="B70" s="20"/>
      <c r="C70" s="20" t="s">
        <v>202</v>
      </c>
      <c r="D70" s="21"/>
      <c r="E70" s="8"/>
      <c r="F70" s="23">
        <f>Source!AL31</f>
        <v>0</v>
      </c>
      <c r="G70" s="22" t="str">
        <f>Source!DD31</f>
        <v>)*4</v>
      </c>
      <c r="H70" s="8">
        <f>Source!AW31</f>
        <v>1</v>
      </c>
      <c r="I70" s="8">
        <f>IF(Source!BC31&lt;&gt; 0, Source!BC31, 1)</f>
        <v>1</v>
      </c>
      <c r="J70" s="24">
        <f>Source!P31</f>
        <v>0</v>
      </c>
      <c r="K70" s="24"/>
    </row>
    <row r="71" spans="1:22" ht="28.5" x14ac:dyDescent="0.2">
      <c r="A71" s="19" t="str">
        <f>Source!E32</f>
        <v>4,1</v>
      </c>
      <c r="B71" s="20" t="str">
        <f>Source!F32</f>
        <v>9999990008</v>
      </c>
      <c r="C71" s="20" t="str">
        <f>Source!G32</f>
        <v>Трудозатраты рабочих (рабочий 4 разряда)</v>
      </c>
      <c r="D71" s="21" t="str">
        <f>Source!H32</f>
        <v>чел.-ч.</v>
      </c>
      <c r="E71" s="34">
        <f>Source!I32</f>
        <v>132.22631999999999</v>
      </c>
      <c r="F71" s="23">
        <f>Source!AK32</f>
        <v>199.36</v>
      </c>
      <c r="G71" s="31"/>
      <c r="H71" s="8">
        <f>Source!AV32</f>
        <v>1</v>
      </c>
      <c r="I71" s="8">
        <f>IF(Source!BA32&lt;&gt; 0, Source!BA32, 1)</f>
        <v>1</v>
      </c>
      <c r="J71" s="24">
        <f>Source!O32</f>
        <v>26360.639999999999</v>
      </c>
      <c r="K71" s="24"/>
      <c r="Q71">
        <f>ROUND((Source!BZ32/100)*ROUND((Source!AF32*Source!AV32)*Source!I32, 2), 2)</f>
        <v>18452.45</v>
      </c>
      <c r="R71">
        <f>Source!X32</f>
        <v>18452.45</v>
      </c>
      <c r="S71">
        <f>ROUND((Source!CA32/100)*ROUND((Source!AF32*Source!AV32)*Source!I32, 2), 2)</f>
        <v>2636.06</v>
      </c>
      <c r="T71">
        <f>Source!Y32</f>
        <v>2636.06</v>
      </c>
      <c r="U71">
        <f>ROUND((175/100)*ROUND((Source!AE32*Source!AV32)*Source!I32, 2), 2)</f>
        <v>0</v>
      </c>
      <c r="V71">
        <f>ROUND((108/100)*ROUND(Source!CS32*Source!I32, 2), 2)</f>
        <v>0</v>
      </c>
    </row>
    <row r="72" spans="1:22" ht="28.5" x14ac:dyDescent="0.2">
      <c r="A72" s="19" t="str">
        <f>Source!E33</f>
        <v>4,2</v>
      </c>
      <c r="B72" s="20" t="str">
        <f>Source!F33</f>
        <v>22.1-18-24</v>
      </c>
      <c r="C72" s="20" t="str">
        <f>Source!G33</f>
        <v>Автомобили полупассажирские типа ГАЗ, грузоподъемность до 2 т (прим.)</v>
      </c>
      <c r="D72" s="21" t="str">
        <f>Source!H33</f>
        <v>маш.-ч</v>
      </c>
      <c r="E72" s="34">
        <f>Source!I33</f>
        <v>132.19735</v>
      </c>
      <c r="F72" s="23">
        <f>Source!AK33</f>
        <v>450.57</v>
      </c>
      <c r="G72" s="31"/>
      <c r="H72" s="8">
        <f>Source!AV33</f>
        <v>1</v>
      </c>
      <c r="I72" s="8">
        <f>IF(Source!BB33&lt;&gt; 0, Source!BB33, 1)</f>
        <v>1</v>
      </c>
      <c r="J72" s="24">
        <f>Source!O33</f>
        <v>59564.160000000003</v>
      </c>
      <c r="K72" s="24"/>
      <c r="Q72">
        <f>ROUND((Source!BZ33/100)*ROUND((Source!AF33*Source!AV33)*Source!I33, 2), 2)</f>
        <v>0</v>
      </c>
      <c r="R72">
        <f>Source!X33</f>
        <v>0</v>
      </c>
      <c r="S72">
        <f>ROUND((Source!CA33/100)*ROUND((Source!AF33*Source!AV33)*Source!I33, 2), 2)</f>
        <v>0</v>
      </c>
      <c r="T72">
        <f>Source!Y33</f>
        <v>0</v>
      </c>
      <c r="U72">
        <f>ROUND((175/100)*ROUND((Source!AE33*Source!AV33)*Source!I33, 2), 2)</f>
        <v>54188.03</v>
      </c>
      <c r="V72">
        <f>ROUND((108/100)*ROUND(Source!CS33*Source!I33, 2), 2)</f>
        <v>33441.760000000002</v>
      </c>
    </row>
    <row r="73" spans="1:22" ht="14.25" x14ac:dyDescent="0.2">
      <c r="A73" s="19"/>
      <c r="B73" s="20"/>
      <c r="C73" s="20" t="s">
        <v>203</v>
      </c>
      <c r="D73" s="21" t="s">
        <v>204</v>
      </c>
      <c r="E73" s="8">
        <f>Source!AT31</f>
        <v>70</v>
      </c>
      <c r="F73" s="23"/>
      <c r="G73" s="22"/>
      <c r="H73" s="8"/>
      <c r="I73" s="8"/>
      <c r="J73" s="24">
        <f>SUM(R66:R72)</f>
        <v>18452.45</v>
      </c>
      <c r="K73" s="24"/>
    </row>
    <row r="74" spans="1:22" ht="14.25" x14ac:dyDescent="0.2">
      <c r="A74" s="19"/>
      <c r="B74" s="20"/>
      <c r="C74" s="20" t="s">
        <v>205</v>
      </c>
      <c r="D74" s="21" t="s">
        <v>204</v>
      </c>
      <c r="E74" s="8">
        <f>Source!AU31</f>
        <v>10</v>
      </c>
      <c r="F74" s="23"/>
      <c r="G74" s="22"/>
      <c r="H74" s="8"/>
      <c r="I74" s="8"/>
      <c r="J74" s="24">
        <f>SUM(T66:T73)</f>
        <v>2636.06</v>
      </c>
      <c r="K74" s="24"/>
    </row>
    <row r="75" spans="1:22" ht="14.25" x14ac:dyDescent="0.2">
      <c r="A75" s="19"/>
      <c r="B75" s="20"/>
      <c r="C75" s="20" t="s">
        <v>206</v>
      </c>
      <c r="D75" s="21" t="s">
        <v>204</v>
      </c>
      <c r="E75" s="8">
        <f>108</f>
        <v>108</v>
      </c>
      <c r="F75" s="23"/>
      <c r="G75" s="22"/>
      <c r="H75" s="8"/>
      <c r="I75" s="8"/>
      <c r="J75" s="24">
        <v>33421.25</v>
      </c>
      <c r="K75" s="24"/>
    </row>
    <row r="76" spans="1:22" ht="14.25" x14ac:dyDescent="0.2">
      <c r="A76" s="19"/>
      <c r="B76" s="20"/>
      <c r="C76" s="20" t="s">
        <v>207</v>
      </c>
      <c r="D76" s="21" t="s">
        <v>208</v>
      </c>
      <c r="E76" s="8">
        <f>Source!AQ31</f>
        <v>0</v>
      </c>
      <c r="F76" s="23"/>
      <c r="G76" s="22" t="str">
        <f>Source!DI31</f>
        <v>)*4</v>
      </c>
      <c r="H76" s="8">
        <f>Source!AV31</f>
        <v>1</v>
      </c>
      <c r="I76" s="8"/>
      <c r="J76" s="24"/>
      <c r="K76" s="24">
        <f>Source!U31</f>
        <v>0</v>
      </c>
    </row>
    <row r="77" spans="1:22" ht="15" x14ac:dyDescent="0.25">
      <c r="A77" s="29"/>
      <c r="B77" s="29"/>
      <c r="C77" s="29"/>
      <c r="D77" s="29"/>
      <c r="E77" s="29"/>
      <c r="F77" s="29"/>
      <c r="G77" s="29"/>
      <c r="H77" s="29"/>
      <c r="I77" s="47">
        <f>J67+J68+J70+J73+J74+J75+SUM(J71:J72)</f>
        <v>140434.56</v>
      </c>
      <c r="J77" s="47"/>
      <c r="K77" s="30">
        <f>IF(Source!I31&lt;&gt;0, ROUND(I77/Source!I31, 2), 0)</f>
        <v>144.47999999999999</v>
      </c>
      <c r="P77" s="26">
        <f>I77</f>
        <v>140434.56</v>
      </c>
    </row>
    <row r="79" spans="1:22" ht="15" x14ac:dyDescent="0.25">
      <c r="A79" s="44" t="str">
        <f>CONCATENATE("Итого по разделу: ",IF(Source!G35&lt;&gt;"Новый раздел", Source!G35, ""))</f>
        <v>Итого по разделу: Технический осмотр</v>
      </c>
      <c r="B79" s="44"/>
      <c r="C79" s="44"/>
      <c r="D79" s="44"/>
      <c r="E79" s="44"/>
      <c r="F79" s="44"/>
      <c r="G79" s="44"/>
      <c r="H79" s="44"/>
      <c r="I79" s="45">
        <f>SUM(P35:P78)</f>
        <v>5791270.1999999993</v>
      </c>
      <c r="J79" s="46"/>
      <c r="K79" s="32"/>
    </row>
    <row r="82" spans="1:22" ht="16.5" x14ac:dyDescent="0.25">
      <c r="A82" s="50" t="str">
        <f>CONCATENATE("Раздел: ",IF(Source!G64&lt;&gt;"Новый раздел", Source!G64, ""))</f>
        <v>Раздел: Техническое обслуживание</v>
      </c>
      <c r="B82" s="50"/>
      <c r="C82" s="50"/>
      <c r="D82" s="50"/>
      <c r="E82" s="50"/>
      <c r="F82" s="50"/>
      <c r="G82" s="50"/>
      <c r="H82" s="50"/>
      <c r="I82" s="50"/>
      <c r="J82" s="50"/>
      <c r="K82" s="50"/>
    </row>
    <row r="83" spans="1:22" ht="57" x14ac:dyDescent="0.2">
      <c r="A83" s="19" t="str">
        <f>Source!E68</f>
        <v>5</v>
      </c>
      <c r="B83" s="20" t="str">
        <f>Source!F68</f>
        <v>1.21-2203-3-1/1</v>
      </c>
      <c r="C83" s="20" t="str">
        <f>Source!G68</f>
        <v>Техническое обслуживание силового распределительного пункта с вводным рубильником и предохранителями, число групп 4</v>
      </c>
      <c r="D83" s="21" t="str">
        <f>Source!H68</f>
        <v>шт.</v>
      </c>
      <c r="E83" s="8">
        <f>Source!I68</f>
        <v>19</v>
      </c>
      <c r="F83" s="23"/>
      <c r="G83" s="22"/>
      <c r="H83" s="8"/>
      <c r="I83" s="8"/>
      <c r="J83" s="24"/>
      <c r="K83" s="24"/>
      <c r="Q83">
        <f>ROUND((Source!BZ68/100)*ROUND((Source!AF68*Source!AV68)*Source!I68, 2), 2)</f>
        <v>17055.650000000001</v>
      </c>
      <c r="R83">
        <f>Source!X68</f>
        <v>17055.650000000001</v>
      </c>
      <c r="S83">
        <f>ROUND((Source!CA68/100)*ROUND((Source!AF68*Source!AV68)*Source!I68, 2), 2)</f>
        <v>2436.52</v>
      </c>
      <c r="T83">
        <f>Source!Y68</f>
        <v>2436.52</v>
      </c>
      <c r="U83">
        <f>ROUND((175/100)*ROUND((Source!AE68*Source!AV68)*Source!I68, 2), 2)</f>
        <v>0</v>
      </c>
      <c r="V83">
        <f>ROUND((108/100)*ROUND(Source!CS68*Source!I68, 2), 2)</f>
        <v>0</v>
      </c>
    </row>
    <row r="84" spans="1:22" ht="14.25" x14ac:dyDescent="0.2">
      <c r="A84" s="19"/>
      <c r="B84" s="20"/>
      <c r="C84" s="20" t="s">
        <v>199</v>
      </c>
      <c r="D84" s="21"/>
      <c r="E84" s="8"/>
      <c r="F84" s="23">
        <f>Source!AO68</f>
        <v>1282.3800000000001</v>
      </c>
      <c r="G84" s="22" t="str">
        <f>Source!DG68</f>
        <v/>
      </c>
      <c r="H84" s="8">
        <f>Source!AV68</f>
        <v>1</v>
      </c>
      <c r="I84" s="8">
        <f>IF(Source!BA68&lt;&gt; 0, Source!BA68, 1)</f>
        <v>1</v>
      </c>
      <c r="J84" s="24">
        <f>Source!S68</f>
        <v>24365.22</v>
      </c>
      <c r="K84" s="24"/>
    </row>
    <row r="85" spans="1:22" ht="14.25" x14ac:dyDescent="0.2">
      <c r="A85" s="19"/>
      <c r="B85" s="20"/>
      <c r="C85" s="20" t="s">
        <v>200</v>
      </c>
      <c r="D85" s="21"/>
      <c r="E85" s="8"/>
      <c r="F85" s="23">
        <f>Source!AM68</f>
        <v>0</v>
      </c>
      <c r="G85" s="22" t="str">
        <f>Source!DE68</f>
        <v/>
      </c>
      <c r="H85" s="8">
        <f>Source!AV68</f>
        <v>1</v>
      </c>
      <c r="I85" s="8">
        <f>IF(Source!BB68&lt;&gt; 0, Source!BB68, 1)</f>
        <v>1</v>
      </c>
      <c r="J85" s="24">
        <f>Source!Q68</f>
        <v>0</v>
      </c>
      <c r="K85" s="24"/>
    </row>
    <row r="86" spans="1:22" ht="14.25" x14ac:dyDescent="0.2">
      <c r="A86" s="19"/>
      <c r="B86" s="20"/>
      <c r="C86" s="20" t="s">
        <v>201</v>
      </c>
      <c r="D86" s="21"/>
      <c r="E86" s="8"/>
      <c r="F86" s="23">
        <f>Source!AN68</f>
        <v>0</v>
      </c>
      <c r="G86" s="22" t="str">
        <f>Source!DF68</f>
        <v/>
      </c>
      <c r="H86" s="8">
        <f>Source!AV68</f>
        <v>1</v>
      </c>
      <c r="I86" s="8">
        <f>IF(Source!BS68&lt;&gt; 0, Source!BS68, 1)</f>
        <v>1</v>
      </c>
      <c r="J86" s="25">
        <f>Source!R68</f>
        <v>0</v>
      </c>
      <c r="K86" s="24"/>
    </row>
    <row r="87" spans="1:22" ht="14.25" x14ac:dyDescent="0.2">
      <c r="A87" s="19"/>
      <c r="B87" s="20"/>
      <c r="C87" s="20" t="s">
        <v>202</v>
      </c>
      <c r="D87" s="21"/>
      <c r="E87" s="8"/>
      <c r="F87" s="23">
        <f>Source!AL68</f>
        <v>21.08</v>
      </c>
      <c r="G87" s="22" t="str">
        <f>Source!DD68</f>
        <v/>
      </c>
      <c r="H87" s="8">
        <f>Source!AW68</f>
        <v>1</v>
      </c>
      <c r="I87" s="8">
        <f>IF(Source!BC68&lt;&gt; 0, Source!BC68, 1)</f>
        <v>1</v>
      </c>
      <c r="J87" s="24">
        <f>Source!P68</f>
        <v>400.52</v>
      </c>
      <c r="K87" s="24"/>
    </row>
    <row r="88" spans="1:22" ht="14.25" x14ac:dyDescent="0.2">
      <c r="A88" s="19"/>
      <c r="B88" s="20"/>
      <c r="C88" s="20" t="s">
        <v>203</v>
      </c>
      <c r="D88" s="21" t="s">
        <v>204</v>
      </c>
      <c r="E88" s="8">
        <f>Source!AT68</f>
        <v>70</v>
      </c>
      <c r="F88" s="23"/>
      <c r="G88" s="22"/>
      <c r="H88" s="8"/>
      <c r="I88" s="8"/>
      <c r="J88" s="24">
        <f>SUM(R83:R87)</f>
        <v>17055.650000000001</v>
      </c>
      <c r="K88" s="24"/>
    </row>
    <row r="89" spans="1:22" ht="14.25" x14ac:dyDescent="0.2">
      <c r="A89" s="19"/>
      <c r="B89" s="20"/>
      <c r="C89" s="20" t="s">
        <v>205</v>
      </c>
      <c r="D89" s="21" t="s">
        <v>204</v>
      </c>
      <c r="E89" s="8">
        <f>Source!AU68</f>
        <v>10</v>
      </c>
      <c r="F89" s="23"/>
      <c r="G89" s="22"/>
      <c r="H89" s="8"/>
      <c r="I89" s="8"/>
      <c r="J89" s="24">
        <f>SUM(T83:T88)</f>
        <v>2436.52</v>
      </c>
      <c r="K89" s="24"/>
    </row>
    <row r="90" spans="1:22" ht="14.25" x14ac:dyDescent="0.2">
      <c r="A90" s="19"/>
      <c r="B90" s="20"/>
      <c r="C90" s="20" t="s">
        <v>206</v>
      </c>
      <c r="D90" s="21" t="s">
        <v>204</v>
      </c>
      <c r="E90" s="8">
        <f>108</f>
        <v>108</v>
      </c>
      <c r="F90" s="23"/>
      <c r="G90" s="22"/>
      <c r="H90" s="8"/>
      <c r="I90" s="8"/>
      <c r="J90" s="24">
        <f>SUM(V83:V89)</f>
        <v>0</v>
      </c>
      <c r="K90" s="24"/>
    </row>
    <row r="91" spans="1:22" ht="14.25" x14ac:dyDescent="0.2">
      <c r="A91" s="19"/>
      <c r="B91" s="20"/>
      <c r="C91" s="20" t="s">
        <v>207</v>
      </c>
      <c r="D91" s="21" t="s">
        <v>208</v>
      </c>
      <c r="E91" s="8">
        <f>Source!AQ68</f>
        <v>6</v>
      </c>
      <c r="F91" s="23"/>
      <c r="G91" s="22" t="str">
        <f>Source!DI68</f>
        <v/>
      </c>
      <c r="H91" s="8">
        <f>Source!AV68</f>
        <v>1</v>
      </c>
      <c r="I91" s="8"/>
      <c r="J91" s="24"/>
      <c r="K91" s="24">
        <f>Source!U68</f>
        <v>114</v>
      </c>
    </row>
    <row r="92" spans="1:22" ht="15" x14ac:dyDescent="0.25">
      <c r="A92" s="29"/>
      <c r="B92" s="29"/>
      <c r="C92" s="29"/>
      <c r="D92" s="29"/>
      <c r="E92" s="29"/>
      <c r="F92" s="29"/>
      <c r="G92" s="29"/>
      <c r="H92" s="29"/>
      <c r="I92" s="47">
        <f>J84+J85+J87+J88+J89+J90</f>
        <v>44257.909999999996</v>
      </c>
      <c r="J92" s="47"/>
      <c r="K92" s="30">
        <f>IF(Source!I68&lt;&gt;0, ROUND(I92/Source!I68, 2), 0)</f>
        <v>2329.36</v>
      </c>
      <c r="P92" s="26">
        <f>I92</f>
        <v>44257.909999999996</v>
      </c>
    </row>
    <row r="93" spans="1:22" ht="42.75" x14ac:dyDescent="0.2">
      <c r="A93" s="19" t="str">
        <f>Source!E69</f>
        <v>6</v>
      </c>
      <c r="B93" s="20" t="str">
        <f>Source!F69</f>
        <v>2.9-2103-1-2/1</v>
      </c>
      <c r="C93" s="20" t="str">
        <f>Source!G69</f>
        <v>Техническое обслуживание кабельных линий до 10 кВ, проложенных в земле, кабель сечением 16-35 мм2</v>
      </c>
      <c r="D93" s="21" t="str">
        <f>Source!H69</f>
        <v>км</v>
      </c>
      <c r="E93" s="8">
        <f>Source!I69</f>
        <v>42.890999999999998</v>
      </c>
      <c r="F93" s="23"/>
      <c r="G93" s="22"/>
      <c r="H93" s="8"/>
      <c r="I93" s="8"/>
      <c r="J93" s="24"/>
      <c r="K93" s="24"/>
      <c r="Q93">
        <f>ROUND((Source!BZ69/100)*ROUND((Source!AF69*Source!AV69)*Source!I69, 2), 2)</f>
        <v>76768.800000000003</v>
      </c>
      <c r="R93">
        <f>Source!X69</f>
        <v>76768.800000000003</v>
      </c>
      <c r="S93">
        <f>ROUND((Source!CA69/100)*ROUND((Source!AF69*Source!AV69)*Source!I69, 2), 2)</f>
        <v>10966.97</v>
      </c>
      <c r="T93">
        <f>Source!Y69</f>
        <v>10966.97</v>
      </c>
      <c r="U93">
        <f>ROUND((175/100)*ROUND((Source!AE69*Source!AV69)*Source!I69, 2), 2)</f>
        <v>0</v>
      </c>
      <c r="V93">
        <f>ROUND((108/100)*ROUND(Source!CS69*Source!I69, 2), 2)</f>
        <v>0</v>
      </c>
    </row>
    <row r="94" spans="1:22" ht="14.25" x14ac:dyDescent="0.2">
      <c r="A94" s="19"/>
      <c r="B94" s="20"/>
      <c r="C94" s="20" t="s">
        <v>199</v>
      </c>
      <c r="D94" s="21"/>
      <c r="E94" s="8"/>
      <c r="F94" s="23">
        <f>Source!AO69</f>
        <v>2556.94</v>
      </c>
      <c r="G94" s="22" t="str">
        <f>Source!DG69</f>
        <v/>
      </c>
      <c r="H94" s="8">
        <f>Source!AV69</f>
        <v>1</v>
      </c>
      <c r="I94" s="8">
        <f>IF(Source!BA69&lt;&gt; 0, Source!BA69, 1)</f>
        <v>1</v>
      </c>
      <c r="J94" s="24">
        <f>Source!S69</f>
        <v>109669.71</v>
      </c>
      <c r="K94" s="24"/>
    </row>
    <row r="95" spans="1:22" ht="14.25" x14ac:dyDescent="0.2">
      <c r="A95" s="19"/>
      <c r="B95" s="20"/>
      <c r="C95" s="20" t="s">
        <v>200</v>
      </c>
      <c r="D95" s="21"/>
      <c r="E95" s="8"/>
      <c r="F95" s="23">
        <f>Source!AM69</f>
        <v>0</v>
      </c>
      <c r="G95" s="22" t="str">
        <f>Source!DE69</f>
        <v/>
      </c>
      <c r="H95" s="8">
        <f>Source!AV69</f>
        <v>1</v>
      </c>
      <c r="I95" s="8">
        <f>IF(Source!BB69&lt;&gt; 0, Source!BB69, 1)</f>
        <v>1</v>
      </c>
      <c r="J95" s="24">
        <f>Source!Q69</f>
        <v>0</v>
      </c>
      <c r="K95" s="24"/>
    </row>
    <row r="96" spans="1:22" ht="14.25" x14ac:dyDescent="0.2">
      <c r="A96" s="19"/>
      <c r="B96" s="20"/>
      <c r="C96" s="20" t="s">
        <v>201</v>
      </c>
      <c r="D96" s="21"/>
      <c r="E96" s="8"/>
      <c r="F96" s="23">
        <f>Source!AN69</f>
        <v>0</v>
      </c>
      <c r="G96" s="22" t="str">
        <f>Source!DF69</f>
        <v/>
      </c>
      <c r="H96" s="8">
        <f>Source!AV69</f>
        <v>1</v>
      </c>
      <c r="I96" s="8">
        <f>IF(Source!BS69&lt;&gt; 0, Source!BS69, 1)</f>
        <v>1</v>
      </c>
      <c r="J96" s="25">
        <f>Source!R69</f>
        <v>0</v>
      </c>
      <c r="K96" s="24"/>
    </row>
    <row r="97" spans="1:22" ht="14.25" x14ac:dyDescent="0.2">
      <c r="A97" s="19"/>
      <c r="B97" s="20"/>
      <c r="C97" s="20" t="s">
        <v>202</v>
      </c>
      <c r="D97" s="21"/>
      <c r="E97" s="8"/>
      <c r="F97" s="23">
        <f>Source!AL69</f>
        <v>8.14</v>
      </c>
      <c r="G97" s="22" t="str">
        <f>Source!DD69</f>
        <v/>
      </c>
      <c r="H97" s="8">
        <f>Source!AW69</f>
        <v>1</v>
      </c>
      <c r="I97" s="8">
        <f>IF(Source!BC69&lt;&gt; 0, Source!BC69, 1)</f>
        <v>1</v>
      </c>
      <c r="J97" s="24">
        <f>Source!P69</f>
        <v>349.13</v>
      </c>
      <c r="K97" s="24"/>
    </row>
    <row r="98" spans="1:22" ht="14.25" x14ac:dyDescent="0.2">
      <c r="A98" s="19"/>
      <c r="B98" s="20"/>
      <c r="C98" s="20" t="s">
        <v>203</v>
      </c>
      <c r="D98" s="21" t="s">
        <v>204</v>
      </c>
      <c r="E98" s="8">
        <f>Source!AT69</f>
        <v>70</v>
      </c>
      <c r="F98" s="23"/>
      <c r="G98" s="22"/>
      <c r="H98" s="8"/>
      <c r="I98" s="8"/>
      <c r="J98" s="24">
        <f>SUM(R93:R97)</f>
        <v>76768.800000000003</v>
      </c>
      <c r="K98" s="24"/>
    </row>
    <row r="99" spans="1:22" ht="14.25" x14ac:dyDescent="0.2">
      <c r="A99" s="19"/>
      <c r="B99" s="20"/>
      <c r="C99" s="20" t="s">
        <v>205</v>
      </c>
      <c r="D99" s="21" t="s">
        <v>204</v>
      </c>
      <c r="E99" s="8">
        <f>Source!AU69</f>
        <v>10</v>
      </c>
      <c r="F99" s="23"/>
      <c r="G99" s="22"/>
      <c r="H99" s="8"/>
      <c r="I99" s="8"/>
      <c r="J99" s="24">
        <f>SUM(T93:T98)</f>
        <v>10966.97</v>
      </c>
      <c r="K99" s="24"/>
    </row>
    <row r="100" spans="1:22" ht="14.25" x14ac:dyDescent="0.2">
      <c r="A100" s="19"/>
      <c r="B100" s="20"/>
      <c r="C100" s="20" t="s">
        <v>206</v>
      </c>
      <c r="D100" s="21" t="s">
        <v>204</v>
      </c>
      <c r="E100" s="8">
        <f>108</f>
        <v>108</v>
      </c>
      <c r="F100" s="23"/>
      <c r="G100" s="22"/>
      <c r="H100" s="8"/>
      <c r="I100" s="8"/>
      <c r="J100" s="24">
        <f>SUM(V93:V99)</f>
        <v>0</v>
      </c>
      <c r="K100" s="24"/>
    </row>
    <row r="101" spans="1:22" ht="14.25" x14ac:dyDescent="0.2">
      <c r="A101" s="19"/>
      <c r="B101" s="20"/>
      <c r="C101" s="20" t="s">
        <v>207</v>
      </c>
      <c r="D101" s="21" t="s">
        <v>208</v>
      </c>
      <c r="E101" s="8">
        <f>Source!AQ69</f>
        <v>13.8</v>
      </c>
      <c r="F101" s="23"/>
      <c r="G101" s="22" t="str">
        <f>Source!DI69</f>
        <v/>
      </c>
      <c r="H101" s="8">
        <f>Source!AV69</f>
        <v>1</v>
      </c>
      <c r="I101" s="8"/>
      <c r="J101" s="24"/>
      <c r="K101" s="24">
        <f>Source!U69</f>
        <v>591.89580000000001</v>
      </c>
    </row>
    <row r="102" spans="1:22" ht="15" x14ac:dyDescent="0.25">
      <c r="A102" s="29"/>
      <c r="B102" s="29"/>
      <c r="C102" s="29"/>
      <c r="D102" s="29"/>
      <c r="E102" s="29"/>
      <c r="F102" s="29"/>
      <c r="G102" s="29"/>
      <c r="H102" s="29"/>
      <c r="I102" s="47">
        <f>J94+J95+J97+J98+J99+J100</f>
        <v>197754.61000000002</v>
      </c>
      <c r="J102" s="47"/>
      <c r="K102" s="30">
        <f>IF(Source!I69&lt;&gt;0, ROUND(I102/Source!I69, 2), 0)</f>
        <v>4610.63</v>
      </c>
      <c r="P102" s="26">
        <f>I102</f>
        <v>197754.61000000002</v>
      </c>
    </row>
    <row r="103" spans="1:22" ht="42.75" x14ac:dyDescent="0.2">
      <c r="A103" s="19" t="str">
        <f>Source!E70</f>
        <v>7</v>
      </c>
      <c r="B103" s="20" t="str">
        <f>Source!F70</f>
        <v>2.10-3101-1-1/1</v>
      </c>
      <c r="C103" s="20" t="str">
        <f>Source!G70</f>
        <v>Техническое обслуживание светильников наружного освещения с лампами ДРЛ, ДРИ</v>
      </c>
      <c r="D103" s="21" t="str">
        <f>Source!H70</f>
        <v>10 шт.</v>
      </c>
      <c r="E103" s="8">
        <f>Source!I70</f>
        <v>140.19999999999999</v>
      </c>
      <c r="F103" s="23"/>
      <c r="G103" s="22"/>
      <c r="H103" s="8"/>
      <c r="I103" s="8"/>
      <c r="J103" s="24"/>
      <c r="K103" s="24"/>
      <c r="Q103">
        <f>ROUND((Source!BZ70/100)*ROUND((Source!AF70*Source!AV70)*Source!I70, 2), 2)</f>
        <v>211012.77</v>
      </c>
      <c r="R103">
        <f>Source!X70</f>
        <v>211012.77</v>
      </c>
      <c r="S103">
        <f>ROUND((Source!CA70/100)*ROUND((Source!AF70*Source!AV70)*Source!I70, 2), 2)</f>
        <v>30144.68</v>
      </c>
      <c r="T103">
        <f>Source!Y70</f>
        <v>30144.68</v>
      </c>
      <c r="U103">
        <f>ROUND((175/100)*ROUND((Source!AE70*Source!AV70)*Source!I70, 2), 2)</f>
        <v>878218.06</v>
      </c>
      <c r="V103">
        <f>ROUND((108/100)*ROUND(Source!CS70*Source!I70, 2), 2)</f>
        <v>541986</v>
      </c>
    </row>
    <row r="104" spans="1:22" ht="14.25" x14ac:dyDescent="0.2">
      <c r="A104" s="19"/>
      <c r="B104" s="20"/>
      <c r="C104" s="20" t="s">
        <v>199</v>
      </c>
      <c r="D104" s="21"/>
      <c r="E104" s="8"/>
      <c r="F104" s="23">
        <f>Source!AO70</f>
        <v>2150.12</v>
      </c>
      <c r="G104" s="22" t="str">
        <f>Source!DG70</f>
        <v/>
      </c>
      <c r="H104" s="8">
        <f>Source!AV70</f>
        <v>1</v>
      </c>
      <c r="I104" s="8">
        <f>IF(Source!BA70&lt;&gt; 0, Source!BA70, 1)</f>
        <v>1</v>
      </c>
      <c r="J104" s="24">
        <f>Source!S70</f>
        <v>301446.82</v>
      </c>
      <c r="K104" s="24"/>
    </row>
    <row r="105" spans="1:22" ht="14.25" x14ac:dyDescent="0.2">
      <c r="A105" s="19"/>
      <c r="B105" s="20"/>
      <c r="C105" s="20" t="s">
        <v>200</v>
      </c>
      <c r="D105" s="21"/>
      <c r="E105" s="8"/>
      <c r="F105" s="23">
        <f>Source!AM70</f>
        <v>8467.9</v>
      </c>
      <c r="G105" s="22" t="str">
        <f>Source!DE70</f>
        <v/>
      </c>
      <c r="H105" s="8">
        <f>Source!AV70</f>
        <v>1</v>
      </c>
      <c r="I105" s="8">
        <f>IF(Source!BB70&lt;&gt; 0, Source!BB70, 1)</f>
        <v>1</v>
      </c>
      <c r="J105" s="24">
        <f>Source!Q70</f>
        <v>1187199.58</v>
      </c>
      <c r="K105" s="24"/>
    </row>
    <row r="106" spans="1:22" ht="14.25" x14ac:dyDescent="0.2">
      <c r="A106" s="19"/>
      <c r="B106" s="20"/>
      <c r="C106" s="20" t="s">
        <v>201</v>
      </c>
      <c r="D106" s="21"/>
      <c r="E106" s="8"/>
      <c r="F106" s="23">
        <f>Source!AN70</f>
        <v>3579.45</v>
      </c>
      <c r="G106" s="22" t="str">
        <f>Source!DF70</f>
        <v/>
      </c>
      <c r="H106" s="8">
        <f>Source!AV70</f>
        <v>1</v>
      </c>
      <c r="I106" s="8">
        <f>IF(Source!BS70&lt;&gt; 0, Source!BS70, 1)</f>
        <v>1</v>
      </c>
      <c r="J106" s="25">
        <f>Source!R70</f>
        <v>501838.89</v>
      </c>
      <c r="K106" s="24"/>
    </row>
    <row r="107" spans="1:22" ht="14.25" x14ac:dyDescent="0.2">
      <c r="A107" s="19"/>
      <c r="B107" s="20"/>
      <c r="C107" s="20" t="s">
        <v>202</v>
      </c>
      <c r="D107" s="21"/>
      <c r="E107" s="8"/>
      <c r="F107" s="23">
        <f>Source!AL70</f>
        <v>8.7899999999999991</v>
      </c>
      <c r="G107" s="22" t="str">
        <f>Source!DD70</f>
        <v/>
      </c>
      <c r="H107" s="8">
        <f>Source!AW70</f>
        <v>1</v>
      </c>
      <c r="I107" s="8">
        <f>IF(Source!BC70&lt;&gt; 0, Source!BC70, 1)</f>
        <v>1</v>
      </c>
      <c r="J107" s="24">
        <f>Source!P70</f>
        <v>1232.3599999999999</v>
      </c>
      <c r="K107" s="24"/>
    </row>
    <row r="108" spans="1:22" ht="14.25" x14ac:dyDescent="0.2">
      <c r="A108" s="19"/>
      <c r="B108" s="20"/>
      <c r="C108" s="20" t="s">
        <v>203</v>
      </c>
      <c r="D108" s="21" t="s">
        <v>204</v>
      </c>
      <c r="E108" s="8">
        <f>Source!AT70</f>
        <v>70</v>
      </c>
      <c r="F108" s="23"/>
      <c r="G108" s="22"/>
      <c r="H108" s="8"/>
      <c r="I108" s="8"/>
      <c r="J108" s="24">
        <f>SUM(R103:R107)</f>
        <v>211012.77</v>
      </c>
      <c r="K108" s="24"/>
    </row>
    <row r="109" spans="1:22" ht="14.25" x14ac:dyDescent="0.2">
      <c r="A109" s="19"/>
      <c r="B109" s="20"/>
      <c r="C109" s="20" t="s">
        <v>205</v>
      </c>
      <c r="D109" s="21" t="s">
        <v>204</v>
      </c>
      <c r="E109" s="8">
        <f>Source!AU70</f>
        <v>10</v>
      </c>
      <c r="F109" s="23"/>
      <c r="G109" s="22"/>
      <c r="H109" s="8"/>
      <c r="I109" s="8"/>
      <c r="J109" s="24">
        <f>SUM(T103:T108)</f>
        <v>30144.68</v>
      </c>
      <c r="K109" s="24"/>
    </row>
    <row r="110" spans="1:22" ht="14.25" x14ac:dyDescent="0.2">
      <c r="A110" s="19"/>
      <c r="B110" s="20"/>
      <c r="C110" s="20" t="s">
        <v>206</v>
      </c>
      <c r="D110" s="21" t="s">
        <v>204</v>
      </c>
      <c r="E110" s="8">
        <f>108</f>
        <v>108</v>
      </c>
      <c r="F110" s="23"/>
      <c r="G110" s="22"/>
      <c r="H110" s="8"/>
      <c r="I110" s="8"/>
      <c r="J110" s="24">
        <f>SUM(V103:V109)</f>
        <v>541986</v>
      </c>
      <c r="K110" s="24"/>
    </row>
    <row r="111" spans="1:22" ht="14.25" x14ac:dyDescent="0.2">
      <c r="A111" s="19"/>
      <c r="B111" s="20"/>
      <c r="C111" s="20" t="s">
        <v>207</v>
      </c>
      <c r="D111" s="21" t="s">
        <v>208</v>
      </c>
      <c r="E111" s="8">
        <f>Source!AQ70</f>
        <v>10.06</v>
      </c>
      <c r="F111" s="23"/>
      <c r="G111" s="22" t="str">
        <f>Source!DI70</f>
        <v/>
      </c>
      <c r="H111" s="8">
        <f>Source!AV70</f>
        <v>1</v>
      </c>
      <c r="I111" s="8"/>
      <c r="J111" s="24"/>
      <c r="K111" s="24">
        <f>Source!U70</f>
        <v>1410.412</v>
      </c>
    </row>
    <row r="112" spans="1:22" ht="15" x14ac:dyDescent="0.25">
      <c r="A112" s="29"/>
      <c r="B112" s="29"/>
      <c r="C112" s="29"/>
      <c r="D112" s="29"/>
      <c r="E112" s="29"/>
      <c r="F112" s="29"/>
      <c r="G112" s="29"/>
      <c r="H112" s="29"/>
      <c r="I112" s="47">
        <f>J104+J105+J107+J108+J109+J110</f>
        <v>2273022.21</v>
      </c>
      <c r="J112" s="47"/>
      <c r="K112" s="30">
        <f>IF(Source!I70&lt;&gt;0, ROUND(I112/Source!I70, 2), 0)</f>
        <v>16212.71</v>
      </c>
      <c r="P112" s="26">
        <f>I112</f>
        <v>2273022.21</v>
      </c>
    </row>
    <row r="113" spans="1:22" ht="28.5" x14ac:dyDescent="0.2">
      <c r="A113" s="19" t="str">
        <f>Source!E71</f>
        <v>8</v>
      </c>
      <c r="B113" s="20" t="str">
        <f>Source!F71</f>
        <v>калькуляция №2</v>
      </c>
      <c r="C113" s="20" t="str">
        <f>Source!G71</f>
        <v>Техническое обслуживание опор освещения</v>
      </c>
      <c r="D113" s="21" t="str">
        <f>Source!H71</f>
        <v>шт.</v>
      </c>
      <c r="E113" s="8">
        <f>Source!I71</f>
        <v>972</v>
      </c>
      <c r="F113" s="23"/>
      <c r="G113" s="22"/>
      <c r="H113" s="8"/>
      <c r="I113" s="8"/>
      <c r="J113" s="24"/>
      <c r="K113" s="24"/>
      <c r="Q113">
        <f>ROUND((Source!BZ71/100)*ROUND((Source!AF71*Source!AV71)*Source!I71, 2), 2)</f>
        <v>0</v>
      </c>
      <c r="R113">
        <f>Source!X71</f>
        <v>0</v>
      </c>
      <c r="S113">
        <f>ROUND((Source!CA71/100)*ROUND((Source!AF71*Source!AV71)*Source!I71, 2), 2)</f>
        <v>0</v>
      </c>
      <c r="T113">
        <f>Source!Y71</f>
        <v>0</v>
      </c>
      <c r="U113">
        <f>ROUND((175/100)*ROUND((Source!AE71*Source!AV71)*Source!I71, 2), 2)</f>
        <v>0</v>
      </c>
      <c r="V113">
        <f>ROUND((108/100)*ROUND(Source!CS71*Source!I71, 2), 2)</f>
        <v>0</v>
      </c>
    </row>
    <row r="114" spans="1:22" ht="14.25" x14ac:dyDescent="0.2">
      <c r="A114" s="19"/>
      <c r="B114" s="20"/>
      <c r="C114" s="20" t="s">
        <v>199</v>
      </c>
      <c r="D114" s="21"/>
      <c r="E114" s="8"/>
      <c r="F114" s="23">
        <f>Source!AO71</f>
        <v>0</v>
      </c>
      <c r="G114" s="22" t="str">
        <f>Source!DG71</f>
        <v/>
      </c>
      <c r="H114" s="8">
        <f>Source!AV71</f>
        <v>1</v>
      </c>
      <c r="I114" s="8">
        <f>IF(Source!BA71&lt;&gt; 0, Source!BA71, 1)</f>
        <v>1</v>
      </c>
      <c r="J114" s="24">
        <f>Source!S71</f>
        <v>0</v>
      </c>
      <c r="K114" s="24"/>
    </row>
    <row r="115" spans="1:22" ht="14.25" x14ac:dyDescent="0.2">
      <c r="A115" s="19"/>
      <c r="B115" s="20"/>
      <c r="C115" s="20" t="s">
        <v>200</v>
      </c>
      <c r="D115" s="21"/>
      <c r="E115" s="8"/>
      <c r="F115" s="23">
        <f>Source!AM71</f>
        <v>0</v>
      </c>
      <c r="G115" s="22" t="str">
        <f>Source!DE71</f>
        <v/>
      </c>
      <c r="H115" s="8">
        <f>Source!AV71</f>
        <v>1</v>
      </c>
      <c r="I115" s="8">
        <f>IF(Source!BB71&lt;&gt; 0, Source!BB71, 1)</f>
        <v>1</v>
      </c>
      <c r="J115" s="24">
        <f>Source!Q71</f>
        <v>0</v>
      </c>
      <c r="K115" s="24"/>
    </row>
    <row r="116" spans="1:22" ht="14.25" x14ac:dyDescent="0.2">
      <c r="A116" s="19"/>
      <c r="B116" s="20"/>
      <c r="C116" s="20" t="s">
        <v>201</v>
      </c>
      <c r="D116" s="21"/>
      <c r="E116" s="8"/>
      <c r="F116" s="23">
        <f>Source!AN71</f>
        <v>0</v>
      </c>
      <c r="G116" s="22" t="str">
        <f>Source!DF71</f>
        <v/>
      </c>
      <c r="H116" s="8">
        <f>Source!AV71</f>
        <v>1</v>
      </c>
      <c r="I116" s="8">
        <f>IF(Source!BS71&lt;&gt; 0, Source!BS71, 1)</f>
        <v>1</v>
      </c>
      <c r="J116" s="25">
        <f>Source!R71</f>
        <v>0</v>
      </c>
      <c r="K116" s="24"/>
    </row>
    <row r="117" spans="1:22" ht="14.25" x14ac:dyDescent="0.2">
      <c r="A117" s="19"/>
      <c r="B117" s="20"/>
      <c r="C117" s="20" t="s">
        <v>202</v>
      </c>
      <c r="D117" s="21"/>
      <c r="E117" s="8"/>
      <c r="F117" s="23">
        <f>Source!AL71</f>
        <v>0</v>
      </c>
      <c r="G117" s="22" t="str">
        <f>Source!DD71</f>
        <v/>
      </c>
      <c r="H117" s="8">
        <f>Source!AW71</f>
        <v>1</v>
      </c>
      <c r="I117" s="8">
        <f>IF(Source!BC71&lt;&gt; 0, Source!BC71, 1)</f>
        <v>1</v>
      </c>
      <c r="J117" s="24">
        <f>Source!P71</f>
        <v>0</v>
      </c>
      <c r="K117" s="24"/>
    </row>
    <row r="118" spans="1:22" ht="28.5" x14ac:dyDescent="0.2">
      <c r="A118" s="19" t="str">
        <f>Source!E72</f>
        <v>8,1</v>
      </c>
      <c r="B118" s="20" t="str">
        <f>Source!F72</f>
        <v>9999990008</v>
      </c>
      <c r="C118" s="20" t="str">
        <f>Source!G72</f>
        <v>Трудозатраты рабочих (рабочий 5 разряда)</v>
      </c>
      <c r="D118" s="21" t="str">
        <f>Source!H72</f>
        <v>чел.-ч.</v>
      </c>
      <c r="E118" s="34">
        <f>Source!I72</f>
        <v>408.23829999999998</v>
      </c>
      <c r="F118" s="23">
        <f>Source!AK72</f>
        <v>229.12</v>
      </c>
      <c r="G118" s="31" t="s">
        <v>3</v>
      </c>
      <c r="H118" s="8">
        <f>Source!AV72</f>
        <v>1</v>
      </c>
      <c r="I118" s="8">
        <f>IF(Source!BA72&lt;&gt; 0, Source!BA72, 1)</f>
        <v>1</v>
      </c>
      <c r="J118" s="24">
        <f>Source!O72</f>
        <v>93535.56</v>
      </c>
      <c r="K118" s="24"/>
      <c r="Q118">
        <f>ROUND((Source!BZ72/100)*ROUND((Source!AF72*Source!AV72)*Source!I72, 2), 2)</f>
        <v>65474.89</v>
      </c>
      <c r="R118">
        <f>Source!X72</f>
        <v>65474.89</v>
      </c>
      <c r="S118">
        <f>ROUND((Source!CA72/100)*ROUND((Source!AF72*Source!AV72)*Source!I72, 2), 2)</f>
        <v>9353.56</v>
      </c>
      <c r="T118">
        <f>Source!Y72</f>
        <v>9353.56</v>
      </c>
      <c r="U118">
        <f>ROUND((175/100)*ROUND((Source!AE72*Source!AV72)*Source!I72, 2), 2)</f>
        <v>0</v>
      </c>
      <c r="V118">
        <f>ROUND((108/100)*ROUND(Source!CS72*Source!I72, 2), 2)</f>
        <v>0</v>
      </c>
    </row>
    <row r="119" spans="1:22" ht="28.5" x14ac:dyDescent="0.2">
      <c r="A119" s="19" t="str">
        <f>Source!E73</f>
        <v>8,2</v>
      </c>
      <c r="B119" s="20" t="str">
        <f>Source!F73</f>
        <v>9999990008</v>
      </c>
      <c r="C119" s="20" t="str">
        <f>Source!G73</f>
        <v>Трудозатраты рабочих (рабочий 4 разряда)</v>
      </c>
      <c r="D119" s="21" t="str">
        <f>Source!H73</f>
        <v>чел.-ч.</v>
      </c>
      <c r="E119" s="34">
        <f>Source!I73</f>
        <v>816.46829000000002</v>
      </c>
      <c r="F119" s="23">
        <f>Source!AK73</f>
        <v>199.36</v>
      </c>
      <c r="G119" s="31" t="s">
        <v>3</v>
      </c>
      <c r="H119" s="8">
        <f>Source!AV73</f>
        <v>1</v>
      </c>
      <c r="I119" s="8">
        <f>IF(Source!BA73&lt;&gt; 0, Source!BA73, 1)</f>
        <v>1</v>
      </c>
      <c r="J119" s="24">
        <f>Source!O73</f>
        <v>162771.12</v>
      </c>
      <c r="K119" s="24"/>
      <c r="Q119">
        <f>ROUND((Source!BZ73/100)*ROUND((Source!AF73*Source!AV73)*Source!I73, 2), 2)</f>
        <v>113939.78</v>
      </c>
      <c r="R119">
        <f>Source!X73</f>
        <v>113939.78</v>
      </c>
      <c r="S119">
        <f>ROUND((Source!CA73/100)*ROUND((Source!AF73*Source!AV73)*Source!I73, 2), 2)</f>
        <v>16277.11</v>
      </c>
      <c r="T119">
        <f>Source!Y73</f>
        <v>16277.11</v>
      </c>
      <c r="U119">
        <f>ROUND((175/100)*ROUND((Source!AE73*Source!AV73)*Source!I73, 2), 2)</f>
        <v>0</v>
      </c>
      <c r="V119">
        <f>ROUND((108/100)*ROUND(Source!CS73*Source!I73, 2), 2)</f>
        <v>0</v>
      </c>
    </row>
    <row r="120" spans="1:22" ht="57" x14ac:dyDescent="0.2">
      <c r="A120" s="19" t="str">
        <f>Source!E74</f>
        <v>8,3</v>
      </c>
      <c r="B120" s="20" t="str">
        <f>Source!F74</f>
        <v>22.1-8-1</v>
      </c>
      <c r="C120" s="20" t="str">
        <f>Source!G74</f>
        <v>Машины монтажные для кабельных работ на автомобиле (Машина прикрытия типа бортового автомобиля на шасси ЗИЛ-433360)</v>
      </c>
      <c r="D120" s="21" t="str">
        <f>Source!H74</f>
        <v>маш.-ч</v>
      </c>
      <c r="E120" s="34">
        <f>Source!I74</f>
        <v>408.23584060000002</v>
      </c>
      <c r="F120" s="23">
        <f>Source!AK74</f>
        <v>981.51</v>
      </c>
      <c r="G120" s="31" t="s">
        <v>3</v>
      </c>
      <c r="H120" s="8">
        <f>Source!AV74</f>
        <v>1</v>
      </c>
      <c r="I120" s="8">
        <f>IF(Source!BB74&lt;&gt; 0, Source!BB74, 1)</f>
        <v>1</v>
      </c>
      <c r="J120" s="24">
        <f>Source!O74</f>
        <v>400687.56</v>
      </c>
      <c r="K120" s="24"/>
      <c r="Q120">
        <f>ROUND((Source!BZ74/100)*ROUND((Source!AF74*Source!AV74)*Source!I74, 2), 2)</f>
        <v>0</v>
      </c>
      <c r="R120">
        <f>Source!X74</f>
        <v>0</v>
      </c>
      <c r="S120">
        <f>ROUND((Source!CA74/100)*ROUND((Source!AF74*Source!AV74)*Source!I74, 2), 2)</f>
        <v>0</v>
      </c>
      <c r="T120">
        <f>Source!Y74</f>
        <v>0</v>
      </c>
      <c r="U120">
        <f>ROUND((175/100)*ROUND((Source!AE74*Source!AV74)*Source!I74, 2), 2)</f>
        <v>268604.89</v>
      </c>
      <c r="V120">
        <f>ROUND((108/100)*ROUND(Source!CS74*Source!I74, 2), 2)</f>
        <v>165767.59</v>
      </c>
    </row>
    <row r="121" spans="1:22" ht="71.25" x14ac:dyDescent="0.2">
      <c r="A121" s="19" t="str">
        <f>Source!E75</f>
        <v>8,4</v>
      </c>
      <c r="B121" s="20" t="str">
        <f>Source!F75</f>
        <v>22.1-4-18</v>
      </c>
      <c r="C121" s="20" t="str">
        <f>Source!G75</f>
        <v>Вышки телескопические на автомобиле, высота до 12 м, гpузоподъемность до 250 кг (автогидроподъемник типа АГП-18 на шасси ЗИЛ-43362)</v>
      </c>
      <c r="D121" s="21" t="str">
        <f>Source!H75</f>
        <v>маш.-ч</v>
      </c>
      <c r="E121" s="35">
        <f>Source!I75</f>
        <v>408.23907600000001</v>
      </c>
      <c r="F121" s="23">
        <f>Source!AK75</f>
        <v>841.74</v>
      </c>
      <c r="G121" s="31" t="s">
        <v>3</v>
      </c>
      <c r="H121" s="8">
        <f>Source!AV75</f>
        <v>1</v>
      </c>
      <c r="I121" s="8">
        <f>IF(Source!BB75&lt;&gt; 0, Source!BB75, 1)</f>
        <v>1</v>
      </c>
      <c r="J121" s="24">
        <f>Source!O75</f>
        <v>343631.16</v>
      </c>
      <c r="K121" s="24"/>
      <c r="Q121">
        <f>ROUND((Source!BZ75/100)*ROUND((Source!AF75*Source!AV75)*Source!I75, 2), 2)</f>
        <v>0</v>
      </c>
      <c r="R121">
        <f>Source!X75</f>
        <v>0</v>
      </c>
      <c r="S121">
        <f>ROUND((Source!CA75/100)*ROUND((Source!AF75*Source!AV75)*Source!I75, 2), 2)</f>
        <v>0</v>
      </c>
      <c r="T121">
        <f>Source!Y75</f>
        <v>0</v>
      </c>
      <c r="U121">
        <f>ROUND((175/100)*ROUND((Source!AE75*Source!AV75)*Source!I75, 2), 2)</f>
        <v>254197.21</v>
      </c>
      <c r="V121">
        <f>ROUND((108/100)*ROUND(Source!CS75*Source!I75, 2), 2)</f>
        <v>156875.99</v>
      </c>
    </row>
    <row r="122" spans="1:22" ht="42.75" x14ac:dyDescent="0.2">
      <c r="A122" s="19" t="str">
        <f>Source!E76</f>
        <v>8,5</v>
      </c>
      <c r="B122" s="20" t="str">
        <f>Source!F76</f>
        <v>22.1-18-7</v>
      </c>
      <c r="C122" s="20" t="str">
        <f>Source!G76</f>
        <v>Автомобили грузовые бортовые, грузоподъемность до 5 т (дорожный ремонтер на шасси ЗИЛ-433362)</v>
      </c>
      <c r="D122" s="21" t="str">
        <f>Source!H76</f>
        <v>маш.-ч</v>
      </c>
      <c r="E122" s="35">
        <f>Source!I76</f>
        <v>408.23811039999998</v>
      </c>
      <c r="F122" s="23">
        <f>Source!AK76</f>
        <v>720.17</v>
      </c>
      <c r="G122" s="31" t="s">
        <v>3</v>
      </c>
      <c r="H122" s="8">
        <f>Source!AV76</f>
        <v>1</v>
      </c>
      <c r="I122" s="8">
        <f>IF(Source!BB76&lt;&gt; 0, Source!BB76, 1)</f>
        <v>1</v>
      </c>
      <c r="J122" s="24">
        <f>Source!O76</f>
        <v>294000.84000000003</v>
      </c>
      <c r="K122" s="24"/>
      <c r="Q122">
        <f>ROUND((Source!BZ76/100)*ROUND((Source!AF76*Source!AV76)*Source!I76, 2), 2)</f>
        <v>0</v>
      </c>
      <c r="R122">
        <f>Source!X76</f>
        <v>0</v>
      </c>
      <c r="S122">
        <f>ROUND((Source!CA76/100)*ROUND((Source!AF76*Source!AV76)*Source!I76, 2), 2)</f>
        <v>0</v>
      </c>
      <c r="T122">
        <f>Source!Y76</f>
        <v>0</v>
      </c>
      <c r="U122">
        <f>ROUND((175/100)*ROUND((Source!AE76*Source!AV76)*Source!I76, 2), 2)</f>
        <v>272042.73</v>
      </c>
      <c r="V122">
        <f>ROUND((108/100)*ROUND(Source!CS76*Source!I76, 2), 2)</f>
        <v>167889.23</v>
      </c>
    </row>
    <row r="123" spans="1:22" ht="14.25" x14ac:dyDescent="0.2">
      <c r="A123" s="19" t="str">
        <f>Source!E77</f>
        <v>8,6</v>
      </c>
      <c r="B123" s="20" t="str">
        <f>Source!F77</f>
        <v>21.1-20-7</v>
      </c>
      <c r="C123" s="20" t="str">
        <f>Source!G77</f>
        <v>Ветошь</v>
      </c>
      <c r="D123" s="21" t="str">
        <f>Source!H77</f>
        <v>кг</v>
      </c>
      <c r="E123" s="8">
        <f>Source!I77</f>
        <v>19.331469999999999</v>
      </c>
      <c r="F123" s="23">
        <f>Source!AK77</f>
        <v>28.66</v>
      </c>
      <c r="G123" s="31" t="s">
        <v>3</v>
      </c>
      <c r="H123" s="8">
        <f>Source!AW77</f>
        <v>1</v>
      </c>
      <c r="I123" s="8">
        <f>IF(Source!BC77&lt;&gt; 0, Source!BC77, 1)</f>
        <v>1</v>
      </c>
      <c r="J123" s="24">
        <f>Source!O77</f>
        <v>554.04</v>
      </c>
      <c r="K123" s="24"/>
      <c r="Q123">
        <f>ROUND((Source!BZ77/100)*ROUND((Source!AF77*Source!AV77)*Source!I77, 2), 2)</f>
        <v>0</v>
      </c>
      <c r="R123">
        <f>Source!X77</f>
        <v>0</v>
      </c>
      <c r="S123">
        <f>ROUND((Source!CA77/100)*ROUND((Source!AF77*Source!AV77)*Source!I77, 2), 2)</f>
        <v>0</v>
      </c>
      <c r="T123">
        <f>Source!Y77</f>
        <v>0</v>
      </c>
      <c r="U123">
        <f>ROUND((175/100)*ROUND((Source!AE77*Source!AV77)*Source!I77, 2), 2)</f>
        <v>0</v>
      </c>
      <c r="V123">
        <f>ROUND((108/100)*ROUND(Source!CS77*Source!I77, 2), 2)</f>
        <v>0</v>
      </c>
    </row>
    <row r="124" spans="1:22" ht="14.25" x14ac:dyDescent="0.2">
      <c r="A124" s="19"/>
      <c r="B124" s="20"/>
      <c r="C124" s="20" t="s">
        <v>203</v>
      </c>
      <c r="D124" s="21" t="s">
        <v>204</v>
      </c>
      <c r="E124" s="8">
        <f>Source!AT71</f>
        <v>70</v>
      </c>
      <c r="F124" s="23"/>
      <c r="G124" s="22"/>
      <c r="H124" s="8"/>
      <c r="I124" s="8"/>
      <c r="J124" s="24">
        <f>SUM(R113:R123)</f>
        <v>179414.66999999998</v>
      </c>
      <c r="K124" s="24"/>
    </row>
    <row r="125" spans="1:22" ht="14.25" x14ac:dyDescent="0.2">
      <c r="A125" s="19"/>
      <c r="B125" s="20"/>
      <c r="C125" s="20" t="s">
        <v>205</v>
      </c>
      <c r="D125" s="21" t="s">
        <v>204</v>
      </c>
      <c r="E125" s="8">
        <f>Source!AU71</f>
        <v>10</v>
      </c>
      <c r="F125" s="23"/>
      <c r="G125" s="22"/>
      <c r="H125" s="8"/>
      <c r="I125" s="8"/>
      <c r="J125" s="24">
        <f>SUM(T113:T124)</f>
        <v>25630.67</v>
      </c>
      <c r="K125" s="24"/>
    </row>
    <row r="126" spans="1:22" ht="14.25" x14ac:dyDescent="0.2">
      <c r="A126" s="19"/>
      <c r="B126" s="20"/>
      <c r="C126" s="20" t="s">
        <v>206</v>
      </c>
      <c r="D126" s="21" t="s">
        <v>204</v>
      </c>
      <c r="E126" s="8">
        <f>108</f>
        <v>108</v>
      </c>
      <c r="F126" s="23"/>
      <c r="G126" s="22"/>
      <c r="H126" s="8"/>
      <c r="I126" s="8"/>
      <c r="J126" s="24">
        <v>490547.02</v>
      </c>
      <c r="K126" s="24"/>
    </row>
    <row r="127" spans="1:22" ht="14.25" x14ac:dyDescent="0.2">
      <c r="A127" s="19"/>
      <c r="B127" s="20"/>
      <c r="C127" s="20" t="s">
        <v>207</v>
      </c>
      <c r="D127" s="21" t="s">
        <v>208</v>
      </c>
      <c r="E127" s="8">
        <f>Source!AQ71</f>
        <v>0</v>
      </c>
      <c r="F127" s="23"/>
      <c r="G127" s="22" t="str">
        <f>Source!DI71</f>
        <v/>
      </c>
      <c r="H127" s="8">
        <f>Source!AV71</f>
        <v>1</v>
      </c>
      <c r="I127" s="8"/>
      <c r="J127" s="24"/>
      <c r="K127" s="24">
        <f>Source!U71</f>
        <v>0</v>
      </c>
    </row>
    <row r="128" spans="1:22" ht="15" x14ac:dyDescent="0.25">
      <c r="A128" s="29"/>
      <c r="B128" s="29"/>
      <c r="C128" s="29"/>
      <c r="D128" s="29"/>
      <c r="E128" s="29"/>
      <c r="F128" s="29"/>
      <c r="G128" s="29"/>
      <c r="H128" s="29"/>
      <c r="I128" s="47">
        <f>J114+J115+J117+J124+J125+J126+SUM(J118:J123)</f>
        <v>1990772.6400000001</v>
      </c>
      <c r="J128" s="47"/>
      <c r="K128" s="30">
        <f>IF(Source!I71&lt;&gt;0, ROUND(I128/Source!I71, 2), 0)</f>
        <v>2048.12</v>
      </c>
      <c r="P128" s="26">
        <f>I128</f>
        <v>1990772.6400000001</v>
      </c>
    </row>
    <row r="129" spans="1:22" ht="28.5" x14ac:dyDescent="0.2">
      <c r="A129" s="19" t="str">
        <f>Source!E78</f>
        <v>9</v>
      </c>
      <c r="B129" s="20" t="str">
        <f>Source!F78</f>
        <v>5.3-1101-8-3/1</v>
      </c>
      <c r="C129" s="20" t="str">
        <f>Source!G78</f>
        <v>Очистка информационных стендов от старых объявлений</v>
      </c>
      <c r="D129" s="21" t="str">
        <f>Source!H78</f>
        <v>10 м2</v>
      </c>
      <c r="E129" s="8">
        <f>Source!I78</f>
        <v>150</v>
      </c>
      <c r="F129" s="23"/>
      <c r="G129" s="22"/>
      <c r="H129" s="8"/>
      <c r="I129" s="8"/>
      <c r="J129" s="24"/>
      <c r="K129" s="24"/>
      <c r="Q129">
        <f>ROUND((Source!BZ78/100)*ROUND((Source!AF78*Source!AV78)*Source!I78, 2), 2)</f>
        <v>71142.75</v>
      </c>
      <c r="R129">
        <f>Source!X78</f>
        <v>71142.75</v>
      </c>
      <c r="S129">
        <f>ROUND((Source!CA78/100)*ROUND((Source!AF78*Source!AV78)*Source!I78, 2), 2)</f>
        <v>10163.25</v>
      </c>
      <c r="T129">
        <f>Source!Y78</f>
        <v>10163.25</v>
      </c>
      <c r="U129">
        <f>ROUND((175/100)*ROUND((Source!AE78*Source!AV78)*Source!I78, 2), 2)</f>
        <v>0</v>
      </c>
      <c r="V129">
        <f>ROUND((108/100)*ROUND(Source!CS78*Source!I78, 2), 2)</f>
        <v>0</v>
      </c>
    </row>
    <row r="130" spans="1:22" ht="14.25" x14ac:dyDescent="0.2">
      <c r="A130" s="19"/>
      <c r="B130" s="20"/>
      <c r="C130" s="20" t="s">
        <v>199</v>
      </c>
      <c r="D130" s="21"/>
      <c r="E130" s="8"/>
      <c r="F130" s="23">
        <f>Source!AO78</f>
        <v>677.55</v>
      </c>
      <c r="G130" s="22" t="str">
        <f>Source!DG78</f>
        <v/>
      </c>
      <c r="H130" s="8">
        <f>Source!AV78</f>
        <v>1</v>
      </c>
      <c r="I130" s="8">
        <f>IF(Source!BA78&lt;&gt; 0, Source!BA78, 1)</f>
        <v>1</v>
      </c>
      <c r="J130" s="24">
        <f>Source!S78</f>
        <v>101632.5</v>
      </c>
      <c r="K130" s="24"/>
    </row>
    <row r="131" spans="1:22" ht="14.25" x14ac:dyDescent="0.2">
      <c r="A131" s="19"/>
      <c r="B131" s="20"/>
      <c r="C131" s="20" t="s">
        <v>200</v>
      </c>
      <c r="D131" s="21"/>
      <c r="E131" s="8"/>
      <c r="F131" s="23">
        <f>Source!AM78</f>
        <v>0</v>
      </c>
      <c r="G131" s="22" t="str">
        <f>Source!DE78</f>
        <v/>
      </c>
      <c r="H131" s="8">
        <f>Source!AV78</f>
        <v>1</v>
      </c>
      <c r="I131" s="8">
        <f>IF(Source!BB78&lt;&gt; 0, Source!BB78, 1)</f>
        <v>1</v>
      </c>
      <c r="J131" s="24">
        <f>Source!Q78</f>
        <v>0</v>
      </c>
      <c r="K131" s="24"/>
    </row>
    <row r="132" spans="1:22" ht="14.25" x14ac:dyDescent="0.2">
      <c r="A132" s="19"/>
      <c r="B132" s="20"/>
      <c r="C132" s="20" t="s">
        <v>201</v>
      </c>
      <c r="D132" s="21"/>
      <c r="E132" s="8"/>
      <c r="F132" s="23">
        <f>Source!AN78</f>
        <v>0</v>
      </c>
      <c r="G132" s="22" t="str">
        <f>Source!DF78</f>
        <v/>
      </c>
      <c r="H132" s="8">
        <f>Source!AV78</f>
        <v>1</v>
      </c>
      <c r="I132" s="8">
        <f>IF(Source!BS78&lt;&gt; 0, Source!BS78, 1)</f>
        <v>1</v>
      </c>
      <c r="J132" s="25">
        <f>Source!R78</f>
        <v>0</v>
      </c>
      <c r="K132" s="24"/>
    </row>
    <row r="133" spans="1:22" ht="14.25" x14ac:dyDescent="0.2">
      <c r="A133" s="19"/>
      <c r="B133" s="20"/>
      <c r="C133" s="20" t="s">
        <v>202</v>
      </c>
      <c r="D133" s="21"/>
      <c r="E133" s="8"/>
      <c r="F133" s="23">
        <f>Source!AL78</f>
        <v>6.02</v>
      </c>
      <c r="G133" s="22" t="str">
        <f>Source!DD78</f>
        <v/>
      </c>
      <c r="H133" s="8">
        <f>Source!AW78</f>
        <v>1</v>
      </c>
      <c r="I133" s="8">
        <f>IF(Source!BC78&lt;&gt; 0, Source!BC78, 1)</f>
        <v>1</v>
      </c>
      <c r="J133" s="24">
        <f>Source!P78</f>
        <v>903</v>
      </c>
      <c r="K133" s="24"/>
    </row>
    <row r="134" spans="1:22" ht="14.25" x14ac:dyDescent="0.2">
      <c r="A134" s="19"/>
      <c r="B134" s="20"/>
      <c r="C134" s="20" t="s">
        <v>203</v>
      </c>
      <c r="D134" s="21" t="s">
        <v>204</v>
      </c>
      <c r="E134" s="8">
        <f>Source!AT78</f>
        <v>70</v>
      </c>
      <c r="F134" s="23"/>
      <c r="G134" s="22"/>
      <c r="H134" s="8"/>
      <c r="I134" s="8"/>
      <c r="J134" s="24">
        <f>SUM(R129:R133)</f>
        <v>71142.75</v>
      </c>
      <c r="K134" s="24"/>
    </row>
    <row r="135" spans="1:22" ht="14.25" x14ac:dyDescent="0.2">
      <c r="A135" s="19"/>
      <c r="B135" s="20"/>
      <c r="C135" s="20" t="s">
        <v>205</v>
      </c>
      <c r="D135" s="21" t="s">
        <v>204</v>
      </c>
      <c r="E135" s="8">
        <f>Source!AU78</f>
        <v>10</v>
      </c>
      <c r="F135" s="23"/>
      <c r="G135" s="22"/>
      <c r="H135" s="8"/>
      <c r="I135" s="8"/>
      <c r="J135" s="24">
        <f>SUM(T129:T134)</f>
        <v>10163.25</v>
      </c>
      <c r="K135" s="24"/>
    </row>
    <row r="136" spans="1:22" ht="14.25" x14ac:dyDescent="0.2">
      <c r="A136" s="19"/>
      <c r="B136" s="20"/>
      <c r="C136" s="20" t="s">
        <v>206</v>
      </c>
      <c r="D136" s="21" t="s">
        <v>204</v>
      </c>
      <c r="E136" s="8">
        <f>108</f>
        <v>108</v>
      </c>
      <c r="F136" s="23"/>
      <c r="G136" s="22"/>
      <c r="H136" s="8"/>
      <c r="I136" s="8"/>
      <c r="J136" s="24">
        <f>SUM(V129:V135)</f>
        <v>0</v>
      </c>
      <c r="K136" s="24"/>
    </row>
    <row r="137" spans="1:22" ht="14.25" x14ac:dyDescent="0.2">
      <c r="A137" s="19"/>
      <c r="B137" s="20"/>
      <c r="C137" s="20" t="s">
        <v>207</v>
      </c>
      <c r="D137" s="21" t="s">
        <v>208</v>
      </c>
      <c r="E137" s="8">
        <f>Source!AQ78</f>
        <v>4.32</v>
      </c>
      <c r="F137" s="23"/>
      <c r="G137" s="22" t="str">
        <f>Source!DI78</f>
        <v/>
      </c>
      <c r="H137" s="8">
        <f>Source!AV78</f>
        <v>1</v>
      </c>
      <c r="I137" s="8"/>
      <c r="J137" s="24"/>
      <c r="K137" s="24">
        <f>Source!U78</f>
        <v>648</v>
      </c>
    </row>
    <row r="138" spans="1:22" ht="15" x14ac:dyDescent="0.25">
      <c r="A138" s="29"/>
      <c r="B138" s="29"/>
      <c r="C138" s="29"/>
      <c r="D138" s="29"/>
      <c r="E138" s="29"/>
      <c r="F138" s="29"/>
      <c r="G138" s="29"/>
      <c r="H138" s="29"/>
      <c r="I138" s="47">
        <f>J130+J131+J133+J134+J135+J136</f>
        <v>183841.5</v>
      </c>
      <c r="J138" s="47"/>
      <c r="K138" s="30">
        <f>IF(Source!I78&lt;&gt;0, ROUND(I138/Source!I78, 2), 0)</f>
        <v>1225.6099999999999</v>
      </c>
      <c r="P138" s="26">
        <f>I138</f>
        <v>183841.5</v>
      </c>
    </row>
    <row r="139" spans="1:22" ht="42.75" x14ac:dyDescent="0.2">
      <c r="A139" s="19" t="str">
        <f>Source!E79</f>
        <v>10</v>
      </c>
      <c r="B139" s="20" t="str">
        <f>Source!F79</f>
        <v>3.1-1101-32-2/1</v>
      </c>
      <c r="C139" s="20" t="str">
        <f>Source!G79</f>
        <v>Уборка инженерных сооружений в летний период (промывка перильного ограждения и мачт освещения)</v>
      </c>
      <c r="D139" s="21" t="str">
        <f>Source!H79</f>
        <v>100 м2</v>
      </c>
      <c r="E139" s="8">
        <f>Source!I79</f>
        <v>32.270400000000002</v>
      </c>
      <c r="F139" s="23"/>
      <c r="G139" s="22"/>
      <c r="H139" s="8"/>
      <c r="I139" s="8"/>
      <c r="J139" s="24"/>
      <c r="K139" s="24"/>
      <c r="Q139">
        <f>ROUND((Source!BZ79/100)*ROUND((Source!AF79*Source!AV79)*Source!I79, 2), 2)</f>
        <v>13604.84</v>
      </c>
      <c r="R139">
        <f>Source!X79</f>
        <v>13604.84</v>
      </c>
      <c r="S139">
        <f>ROUND((Source!CA79/100)*ROUND((Source!AF79*Source!AV79)*Source!I79, 2), 2)</f>
        <v>1943.55</v>
      </c>
      <c r="T139">
        <f>Source!Y79</f>
        <v>1943.55</v>
      </c>
      <c r="U139">
        <f>ROUND((175/100)*ROUND((Source!AE79*Source!AV79)*Source!I79, 2), 2)</f>
        <v>63019.57</v>
      </c>
      <c r="V139">
        <f>ROUND((108/100)*ROUND(Source!CS79*Source!I79, 2), 2)</f>
        <v>38892.07</v>
      </c>
    </row>
    <row r="140" spans="1:22" ht="14.25" x14ac:dyDescent="0.2">
      <c r="A140" s="19"/>
      <c r="B140" s="20"/>
      <c r="C140" s="20" t="s">
        <v>199</v>
      </c>
      <c r="D140" s="21"/>
      <c r="E140" s="8"/>
      <c r="F140" s="23">
        <f>Source!AO79</f>
        <v>602.27</v>
      </c>
      <c r="G140" s="22" t="str">
        <f>Source!DG79</f>
        <v/>
      </c>
      <c r="H140" s="8">
        <f>Source!AV79</f>
        <v>1</v>
      </c>
      <c r="I140" s="8">
        <f>IF(Source!BA79&lt;&gt; 0, Source!BA79, 1)</f>
        <v>1</v>
      </c>
      <c r="J140" s="24">
        <f>Source!S79</f>
        <v>19435.490000000002</v>
      </c>
      <c r="K140" s="24"/>
    </row>
    <row r="141" spans="1:22" ht="14.25" x14ac:dyDescent="0.2">
      <c r="A141" s="19"/>
      <c r="B141" s="20"/>
      <c r="C141" s="20" t="s">
        <v>200</v>
      </c>
      <c r="D141" s="21"/>
      <c r="E141" s="8"/>
      <c r="F141" s="23">
        <f>Source!AM79</f>
        <v>4606.75</v>
      </c>
      <c r="G141" s="22" t="str">
        <f>Source!DE79</f>
        <v/>
      </c>
      <c r="H141" s="8">
        <f>Source!AV79</f>
        <v>1</v>
      </c>
      <c r="I141" s="8">
        <f>IF(Source!BB79&lt;&gt; 0, Source!BB79, 1)</f>
        <v>1</v>
      </c>
      <c r="J141" s="24">
        <f>Source!Q79</f>
        <v>148661.67000000001</v>
      </c>
      <c r="K141" s="24"/>
    </row>
    <row r="142" spans="1:22" ht="14.25" x14ac:dyDescent="0.2">
      <c r="A142" s="19"/>
      <c r="B142" s="20"/>
      <c r="C142" s="20" t="s">
        <v>201</v>
      </c>
      <c r="D142" s="21"/>
      <c r="E142" s="8"/>
      <c r="F142" s="23">
        <f>Source!AN79</f>
        <v>1115.92</v>
      </c>
      <c r="G142" s="22" t="str">
        <f>Source!DF79</f>
        <v/>
      </c>
      <c r="H142" s="8">
        <f>Source!AV79</f>
        <v>1</v>
      </c>
      <c r="I142" s="8">
        <f>IF(Source!BS79&lt;&gt; 0, Source!BS79, 1)</f>
        <v>1</v>
      </c>
      <c r="J142" s="25">
        <f>Source!R79</f>
        <v>36011.18</v>
      </c>
      <c r="K142" s="24"/>
    </row>
    <row r="143" spans="1:22" ht="14.25" x14ac:dyDescent="0.2">
      <c r="A143" s="19"/>
      <c r="B143" s="20"/>
      <c r="C143" s="20" t="s">
        <v>202</v>
      </c>
      <c r="D143" s="21"/>
      <c r="E143" s="8"/>
      <c r="F143" s="23">
        <f>Source!AL79</f>
        <v>27.58</v>
      </c>
      <c r="G143" s="22" t="str">
        <f>Source!DD79</f>
        <v/>
      </c>
      <c r="H143" s="8">
        <f>Source!AW79</f>
        <v>1</v>
      </c>
      <c r="I143" s="8">
        <f>IF(Source!BC79&lt;&gt; 0, Source!BC79, 1)</f>
        <v>1</v>
      </c>
      <c r="J143" s="24">
        <f>Source!P79</f>
        <v>890.02</v>
      </c>
      <c r="K143" s="24"/>
    </row>
    <row r="144" spans="1:22" ht="14.25" x14ac:dyDescent="0.2">
      <c r="A144" s="19"/>
      <c r="B144" s="20"/>
      <c r="C144" s="20" t="s">
        <v>203</v>
      </c>
      <c r="D144" s="21" t="s">
        <v>204</v>
      </c>
      <c r="E144" s="8">
        <f>Source!AT79</f>
        <v>70</v>
      </c>
      <c r="F144" s="23"/>
      <c r="G144" s="22"/>
      <c r="H144" s="8"/>
      <c r="I144" s="8"/>
      <c r="J144" s="24">
        <f>SUM(R139:R143)</f>
        <v>13604.84</v>
      </c>
      <c r="K144" s="24"/>
    </row>
    <row r="145" spans="1:22" ht="14.25" x14ac:dyDescent="0.2">
      <c r="A145" s="19"/>
      <c r="B145" s="20"/>
      <c r="C145" s="20" t="s">
        <v>205</v>
      </c>
      <c r="D145" s="21" t="s">
        <v>204</v>
      </c>
      <c r="E145" s="8">
        <f>Source!AU79</f>
        <v>10</v>
      </c>
      <c r="F145" s="23"/>
      <c r="G145" s="22"/>
      <c r="H145" s="8"/>
      <c r="I145" s="8"/>
      <c r="J145" s="24">
        <f>SUM(T139:T144)</f>
        <v>1943.55</v>
      </c>
      <c r="K145" s="24"/>
    </row>
    <row r="146" spans="1:22" ht="14.25" x14ac:dyDescent="0.2">
      <c r="A146" s="19"/>
      <c r="B146" s="20"/>
      <c r="C146" s="20" t="s">
        <v>206</v>
      </c>
      <c r="D146" s="21" t="s">
        <v>204</v>
      </c>
      <c r="E146" s="8">
        <f>108</f>
        <v>108</v>
      </c>
      <c r="F146" s="23"/>
      <c r="G146" s="22"/>
      <c r="H146" s="8"/>
      <c r="I146" s="8"/>
      <c r="J146" s="24">
        <f>SUM(V139:V145)</f>
        <v>38892.07</v>
      </c>
      <c r="K146" s="24"/>
    </row>
    <row r="147" spans="1:22" ht="14.25" x14ac:dyDescent="0.2">
      <c r="A147" s="19"/>
      <c r="B147" s="20"/>
      <c r="C147" s="20" t="s">
        <v>207</v>
      </c>
      <c r="D147" s="21" t="s">
        <v>208</v>
      </c>
      <c r="E147" s="8">
        <f>Source!AQ79</f>
        <v>3.84</v>
      </c>
      <c r="F147" s="23"/>
      <c r="G147" s="22" t="str">
        <f>Source!DI79</f>
        <v/>
      </c>
      <c r="H147" s="8">
        <f>Source!AV79</f>
        <v>1</v>
      </c>
      <c r="I147" s="8"/>
      <c r="J147" s="24"/>
      <c r="K147" s="24">
        <f>Source!U79</f>
        <v>123.91833600000001</v>
      </c>
    </row>
    <row r="148" spans="1:22" ht="15" x14ac:dyDescent="0.25">
      <c r="A148" s="29"/>
      <c r="B148" s="29"/>
      <c r="C148" s="29"/>
      <c r="D148" s="29"/>
      <c r="E148" s="29"/>
      <c r="F148" s="29"/>
      <c r="G148" s="29"/>
      <c r="H148" s="29"/>
      <c r="I148" s="47">
        <f>J140+J141+J143+J144+J145+J146</f>
        <v>223427.63999999998</v>
      </c>
      <c r="J148" s="47"/>
      <c r="K148" s="30">
        <f>IF(Source!I79&lt;&gt;0, ROUND(I148/Source!I79, 2), 0)</f>
        <v>6923.61</v>
      </c>
      <c r="P148" s="26">
        <f>I148</f>
        <v>223427.63999999998</v>
      </c>
    </row>
    <row r="149" spans="1:22" ht="28.5" x14ac:dyDescent="0.2">
      <c r="A149" s="19" t="str">
        <f>Source!E80</f>
        <v>11</v>
      </c>
      <c r="B149" s="20" t="str">
        <f>Source!F80</f>
        <v>1.21-3106-14-1/1</v>
      </c>
      <c r="C149" s="20" t="str">
        <f>Source!G80</f>
        <v>Испытание кабелей силовых напряжением до 10 кВ</v>
      </c>
      <c r="D149" s="21" t="str">
        <f>Source!H80</f>
        <v>испытание</v>
      </c>
      <c r="E149" s="8">
        <f>Source!I80</f>
        <v>1</v>
      </c>
      <c r="F149" s="23"/>
      <c r="G149" s="22"/>
      <c r="H149" s="8"/>
      <c r="I149" s="8"/>
      <c r="J149" s="24"/>
      <c r="K149" s="24"/>
      <c r="Q149">
        <f>ROUND((Source!BZ80/100)*ROUND((Source!AF80*Source!AV80)*Source!I80, 2), 2)</f>
        <v>960.55</v>
      </c>
      <c r="R149">
        <f>Source!X80</f>
        <v>960.55</v>
      </c>
      <c r="S149">
        <f>ROUND((Source!CA80/100)*ROUND((Source!AF80*Source!AV80)*Source!I80, 2), 2)</f>
        <v>137.22</v>
      </c>
      <c r="T149">
        <f>Source!Y80</f>
        <v>137.22</v>
      </c>
      <c r="U149">
        <f>ROUND((175/100)*ROUND((Source!AE80*Source!AV80)*Source!I80, 2), 2)</f>
        <v>0</v>
      </c>
      <c r="V149">
        <f>ROUND((108/100)*ROUND(Source!CS80*Source!I80, 2), 2)</f>
        <v>0</v>
      </c>
    </row>
    <row r="150" spans="1:22" ht="14.25" x14ac:dyDescent="0.2">
      <c r="A150" s="19"/>
      <c r="B150" s="20"/>
      <c r="C150" s="20" t="s">
        <v>199</v>
      </c>
      <c r="D150" s="21"/>
      <c r="E150" s="8"/>
      <c r="F150" s="23">
        <f>Source!AO80</f>
        <v>1372.22</v>
      </c>
      <c r="G150" s="22" t="str">
        <f>Source!DG80</f>
        <v/>
      </c>
      <c r="H150" s="8">
        <f>Source!AV80</f>
        <v>1</v>
      </c>
      <c r="I150" s="8">
        <f>IF(Source!BA80&lt;&gt; 0, Source!BA80, 1)</f>
        <v>1</v>
      </c>
      <c r="J150" s="24">
        <f>Source!S80</f>
        <v>1372.22</v>
      </c>
      <c r="K150" s="24"/>
    </row>
    <row r="151" spans="1:22" ht="14.25" x14ac:dyDescent="0.2">
      <c r="A151" s="19"/>
      <c r="B151" s="20"/>
      <c r="C151" s="20" t="s">
        <v>200</v>
      </c>
      <c r="D151" s="21"/>
      <c r="E151" s="8"/>
      <c r="F151" s="23">
        <f>Source!AM80</f>
        <v>0</v>
      </c>
      <c r="G151" s="22" t="str">
        <f>Source!DE80</f>
        <v/>
      </c>
      <c r="H151" s="8">
        <f>Source!AV80</f>
        <v>1</v>
      </c>
      <c r="I151" s="8">
        <f>IF(Source!BB80&lt;&gt; 0, Source!BB80, 1)</f>
        <v>1</v>
      </c>
      <c r="J151" s="24">
        <f>Source!Q80</f>
        <v>0</v>
      </c>
      <c r="K151" s="24"/>
    </row>
    <row r="152" spans="1:22" ht="14.25" x14ac:dyDescent="0.2">
      <c r="A152" s="19"/>
      <c r="B152" s="20"/>
      <c r="C152" s="20" t="s">
        <v>201</v>
      </c>
      <c r="D152" s="21"/>
      <c r="E152" s="8"/>
      <c r="F152" s="23">
        <f>Source!AN80</f>
        <v>0</v>
      </c>
      <c r="G152" s="22" t="str">
        <f>Source!DF80</f>
        <v/>
      </c>
      <c r="H152" s="8">
        <f>Source!AV80</f>
        <v>1</v>
      </c>
      <c r="I152" s="8">
        <f>IF(Source!BS80&lt;&gt; 0, Source!BS80, 1)</f>
        <v>1</v>
      </c>
      <c r="J152" s="25">
        <f>Source!R80</f>
        <v>0</v>
      </c>
      <c r="K152" s="24"/>
    </row>
    <row r="153" spans="1:22" ht="14.25" x14ac:dyDescent="0.2">
      <c r="A153" s="19"/>
      <c r="B153" s="20"/>
      <c r="C153" s="20" t="s">
        <v>202</v>
      </c>
      <c r="D153" s="21"/>
      <c r="E153" s="8"/>
      <c r="F153" s="23">
        <f>Source!AL80</f>
        <v>0</v>
      </c>
      <c r="G153" s="22" t="str">
        <f>Source!DD80</f>
        <v/>
      </c>
      <c r="H153" s="8">
        <f>Source!AW80</f>
        <v>1</v>
      </c>
      <c r="I153" s="8">
        <f>IF(Source!BC80&lt;&gt; 0, Source!BC80, 1)</f>
        <v>1</v>
      </c>
      <c r="J153" s="24">
        <f>Source!P80</f>
        <v>0</v>
      </c>
      <c r="K153" s="24"/>
    </row>
    <row r="154" spans="1:22" ht="14.25" x14ac:dyDescent="0.2">
      <c r="A154" s="19"/>
      <c r="B154" s="20"/>
      <c r="C154" s="20" t="s">
        <v>203</v>
      </c>
      <c r="D154" s="21" t="s">
        <v>204</v>
      </c>
      <c r="E154" s="8">
        <f>Source!AT80</f>
        <v>70</v>
      </c>
      <c r="F154" s="23"/>
      <c r="G154" s="22"/>
      <c r="H154" s="8"/>
      <c r="I154" s="8"/>
      <c r="J154" s="24">
        <f>SUM(R149:R153)</f>
        <v>960.55</v>
      </c>
      <c r="K154" s="24"/>
    </row>
    <row r="155" spans="1:22" ht="14.25" x14ac:dyDescent="0.2">
      <c r="A155" s="19"/>
      <c r="B155" s="20"/>
      <c r="C155" s="20" t="s">
        <v>205</v>
      </c>
      <c r="D155" s="21" t="s">
        <v>204</v>
      </c>
      <c r="E155" s="8">
        <f>Source!AU80</f>
        <v>10</v>
      </c>
      <c r="F155" s="23"/>
      <c r="G155" s="22"/>
      <c r="H155" s="8"/>
      <c r="I155" s="8"/>
      <c r="J155" s="24">
        <f>SUM(T149:T154)</f>
        <v>137.22</v>
      </c>
      <c r="K155" s="24"/>
    </row>
    <row r="156" spans="1:22" ht="14.25" x14ac:dyDescent="0.2">
      <c r="A156" s="19"/>
      <c r="B156" s="20"/>
      <c r="C156" s="20" t="s">
        <v>206</v>
      </c>
      <c r="D156" s="21" t="s">
        <v>204</v>
      </c>
      <c r="E156" s="8">
        <f>108</f>
        <v>108</v>
      </c>
      <c r="F156" s="23"/>
      <c r="G156" s="22"/>
      <c r="H156" s="8"/>
      <c r="I156" s="8"/>
      <c r="J156" s="24">
        <f>SUM(V149:V155)</f>
        <v>0</v>
      </c>
      <c r="K156" s="24"/>
    </row>
    <row r="157" spans="1:22" ht="14.25" x14ac:dyDescent="0.2">
      <c r="A157" s="19"/>
      <c r="B157" s="20"/>
      <c r="C157" s="20" t="s">
        <v>207</v>
      </c>
      <c r="D157" s="21" t="s">
        <v>208</v>
      </c>
      <c r="E157" s="8">
        <f>Source!AQ80</f>
        <v>5.4</v>
      </c>
      <c r="F157" s="23"/>
      <c r="G157" s="22" t="str">
        <f>Source!DI80</f>
        <v/>
      </c>
      <c r="H157" s="8">
        <f>Source!AV80</f>
        <v>1</v>
      </c>
      <c r="I157" s="8"/>
      <c r="J157" s="24"/>
      <c r="K157" s="24">
        <f>Source!U80</f>
        <v>5.4</v>
      </c>
    </row>
    <row r="158" spans="1:22" ht="15" x14ac:dyDescent="0.25">
      <c r="A158" s="29"/>
      <c r="B158" s="29"/>
      <c r="C158" s="29"/>
      <c r="D158" s="29"/>
      <c r="E158" s="29"/>
      <c r="F158" s="29"/>
      <c r="G158" s="29"/>
      <c r="H158" s="29"/>
      <c r="I158" s="47">
        <f>J150+J151+J153+J154+J155+J156</f>
        <v>2469.9899999999998</v>
      </c>
      <c r="J158" s="47"/>
      <c r="K158" s="30">
        <f>IF(Source!I80&lt;&gt;0, ROUND(I158/Source!I80, 2), 0)</f>
        <v>2469.9899999999998</v>
      </c>
      <c r="P158" s="26">
        <f>I158</f>
        <v>2469.9899999999998</v>
      </c>
    </row>
    <row r="160" spans="1:22" ht="15" x14ac:dyDescent="0.25">
      <c r="A160" s="44" t="str">
        <f>CONCATENATE("Итого по разделу: ",IF(Source!G82&lt;&gt;"Новый раздел", Source!G82, ""))</f>
        <v>Итого по разделу: Техническое обслуживание</v>
      </c>
      <c r="B160" s="44"/>
      <c r="C160" s="44"/>
      <c r="D160" s="44"/>
      <c r="E160" s="44"/>
      <c r="F160" s="44"/>
      <c r="G160" s="44"/>
      <c r="H160" s="44"/>
      <c r="I160" s="45">
        <f>SUM(P82:P159)</f>
        <v>4915546.5</v>
      </c>
      <c r="J160" s="46"/>
      <c r="K160" s="32"/>
    </row>
    <row r="162" spans="1:11" ht="15" x14ac:dyDescent="0.25">
      <c r="A162" s="44" t="str">
        <f>CONCATENATE("Итого по смете: ",IF(Source!G140&lt;&gt;"Новый объект", Source!G140, ""))</f>
        <v>Итого по смете: Техническая эксплуатация наружного освещения на территории ИЦ "Сколково"</v>
      </c>
      <c r="B162" s="44"/>
      <c r="C162" s="44"/>
      <c r="D162" s="44"/>
      <c r="E162" s="44"/>
      <c r="F162" s="44"/>
      <c r="G162" s="44"/>
      <c r="H162" s="44"/>
      <c r="I162" s="45">
        <f>SUM(P3:P161)</f>
        <v>10706816.700000001</v>
      </c>
      <c r="J162" s="46"/>
      <c r="K162" s="32"/>
    </row>
    <row r="163" spans="1:11" ht="13.5" customHeight="1" x14ac:dyDescent="0.25">
      <c r="A163" s="44"/>
      <c r="B163" s="44"/>
      <c r="C163" s="44"/>
      <c r="D163" s="44"/>
      <c r="E163" s="44"/>
      <c r="F163" s="44"/>
      <c r="G163" s="44"/>
      <c r="H163" s="33"/>
      <c r="I163" s="28"/>
      <c r="J163" s="27"/>
      <c r="K163" s="32"/>
    </row>
    <row r="164" spans="1:11" ht="27.75" customHeight="1" x14ac:dyDescent="0.25">
      <c r="A164" s="44" t="s">
        <v>222</v>
      </c>
      <c r="B164" s="44"/>
      <c r="C164" s="44"/>
      <c r="D164" s="44"/>
      <c r="E164" s="44"/>
      <c r="F164" s="44"/>
      <c r="G164" s="44"/>
      <c r="H164" s="36"/>
      <c r="J164" s="37"/>
      <c r="K164" s="32"/>
    </row>
    <row r="165" spans="1:11" ht="13.5" customHeight="1" x14ac:dyDescent="0.25">
      <c r="A165" s="36"/>
      <c r="B165" s="36"/>
      <c r="C165" s="36"/>
      <c r="D165" s="36"/>
      <c r="E165" s="36"/>
      <c r="F165" s="36"/>
      <c r="G165" s="36"/>
      <c r="H165" s="36"/>
      <c r="I165" s="37"/>
      <c r="J165" s="38"/>
      <c r="K165" s="32"/>
    </row>
    <row r="166" spans="1:11" ht="15" x14ac:dyDescent="0.25">
      <c r="A166" s="44" t="s">
        <v>211</v>
      </c>
      <c r="B166" s="44"/>
      <c r="C166" s="44"/>
      <c r="D166" s="44"/>
      <c r="E166" s="44"/>
      <c r="F166" s="44"/>
      <c r="G166" s="44"/>
      <c r="H166" s="44"/>
      <c r="I166" s="45"/>
      <c r="J166" s="46"/>
      <c r="K166" s="32"/>
    </row>
    <row r="167" spans="1:11" ht="15" x14ac:dyDescent="0.25">
      <c r="A167" s="33"/>
      <c r="B167" s="33"/>
      <c r="C167" s="33"/>
      <c r="D167" s="33"/>
      <c r="E167" s="33"/>
      <c r="F167" s="33"/>
      <c r="G167" s="33"/>
      <c r="H167" s="33"/>
      <c r="I167" s="28"/>
      <c r="J167" s="27"/>
      <c r="K167" s="32"/>
    </row>
    <row r="168" spans="1:11" ht="15" x14ac:dyDescent="0.25">
      <c r="A168" s="44" t="s">
        <v>212</v>
      </c>
      <c r="B168" s="44"/>
      <c r="C168" s="44"/>
      <c r="D168" s="44"/>
      <c r="E168" s="44"/>
      <c r="F168" s="44"/>
      <c r="G168" s="44"/>
      <c r="H168" s="44"/>
      <c r="I168" s="45"/>
      <c r="J168" s="46"/>
      <c r="K168" s="32"/>
    </row>
    <row r="170" spans="1:11" ht="14.25" x14ac:dyDescent="0.2">
      <c r="A170" s="43"/>
      <c r="B170" s="43"/>
      <c r="C170" s="40"/>
      <c r="D170" s="40"/>
      <c r="E170" s="40"/>
      <c r="F170" s="40"/>
      <c r="G170" s="40"/>
      <c r="H170" s="9"/>
      <c r="I170" s="9"/>
      <c r="J170" s="39"/>
      <c r="K170" s="9"/>
    </row>
    <row r="171" spans="1:11" ht="14.25" x14ac:dyDescent="0.2">
      <c r="A171" s="9"/>
      <c r="B171" s="9"/>
      <c r="C171" s="42"/>
      <c r="D171" s="42"/>
      <c r="E171" s="42"/>
      <c r="F171" s="42"/>
      <c r="G171" s="42"/>
      <c r="H171" s="9"/>
      <c r="I171" s="9"/>
      <c r="J171" s="9"/>
      <c r="K171" s="9"/>
    </row>
    <row r="172" spans="1:11" ht="14.25" x14ac:dyDescent="0.2">
      <c r="A172" s="9"/>
      <c r="B172" s="9"/>
      <c r="C172" s="40"/>
      <c r="D172" s="40"/>
      <c r="E172" s="40"/>
      <c r="F172" s="40"/>
      <c r="G172" s="40"/>
      <c r="H172" s="9"/>
      <c r="I172" s="9"/>
      <c r="J172" s="9"/>
      <c r="K172" s="9"/>
    </row>
    <row r="173" spans="1:11" ht="14.25" x14ac:dyDescent="0.2">
      <c r="A173" s="43"/>
      <c r="B173" s="43"/>
      <c r="C173" s="40"/>
      <c r="D173" s="40"/>
      <c r="E173" s="40"/>
      <c r="F173" s="40"/>
      <c r="G173" s="40"/>
      <c r="H173" s="9"/>
      <c r="I173" s="9"/>
      <c r="J173" s="9"/>
      <c r="K173" s="9"/>
    </row>
    <row r="174" spans="1:11" ht="14.25" x14ac:dyDescent="0.2">
      <c r="A174" s="9"/>
      <c r="B174" s="9"/>
      <c r="C174" s="42"/>
      <c r="D174" s="42"/>
      <c r="E174" s="42"/>
      <c r="F174" s="42"/>
      <c r="G174" s="42"/>
      <c r="H174" s="9"/>
      <c r="I174" s="9"/>
      <c r="J174" s="9"/>
      <c r="K174" s="9"/>
    </row>
    <row r="175" spans="1:11" x14ac:dyDescent="0.2">
      <c r="C175" s="41"/>
      <c r="D175" s="41"/>
      <c r="E175" s="41"/>
      <c r="F175" s="41"/>
      <c r="G175" s="41"/>
    </row>
    <row r="176" spans="1:11" x14ac:dyDescent="0.2">
      <c r="C176" s="41"/>
      <c r="D176" s="41"/>
      <c r="E176" s="41"/>
      <c r="F176" s="41"/>
      <c r="G176" s="41"/>
    </row>
  </sheetData>
  <mergeCells count="66">
    <mergeCell ref="G10:K10"/>
    <mergeCell ref="J3:K3"/>
    <mergeCell ref="A13:K13"/>
    <mergeCell ref="A14:K14"/>
    <mergeCell ref="A21:K21"/>
    <mergeCell ref="B4:E4"/>
    <mergeCell ref="G4:K4"/>
    <mergeCell ref="B5:E5"/>
    <mergeCell ref="G5:K5"/>
    <mergeCell ref="B9:E9"/>
    <mergeCell ref="G9:K9"/>
    <mergeCell ref="B10:E10"/>
    <mergeCell ref="F23:H23"/>
    <mergeCell ref="I23:J23"/>
    <mergeCell ref="A18:K18"/>
    <mergeCell ref="A19:K19"/>
    <mergeCell ref="A16:K16"/>
    <mergeCell ref="F25:H25"/>
    <mergeCell ref="I25:J25"/>
    <mergeCell ref="F24:H24"/>
    <mergeCell ref="I24:J24"/>
    <mergeCell ref="I26:J26"/>
    <mergeCell ref="F26:H26"/>
    <mergeCell ref="F27:H27"/>
    <mergeCell ref="I27:J27"/>
    <mergeCell ref="F28:H28"/>
    <mergeCell ref="I28:J28"/>
    <mergeCell ref="B30:B32"/>
    <mergeCell ref="C30:C32"/>
    <mergeCell ref="D30:D32"/>
    <mergeCell ref="E30:E32"/>
    <mergeCell ref="F30:F32"/>
    <mergeCell ref="G30:G32"/>
    <mergeCell ref="H30:H32"/>
    <mergeCell ref="I102:J102"/>
    <mergeCell ref="I30:I32"/>
    <mergeCell ref="J30:J32"/>
    <mergeCell ref="A35:K35"/>
    <mergeCell ref="I45:J45"/>
    <mergeCell ref="I55:J55"/>
    <mergeCell ref="I65:J65"/>
    <mergeCell ref="I77:J77"/>
    <mergeCell ref="I79:J79"/>
    <mergeCell ref="A79:H79"/>
    <mergeCell ref="A82:K82"/>
    <mergeCell ref="I92:J92"/>
    <mergeCell ref="A30:A32"/>
    <mergeCell ref="A160:H160"/>
    <mergeCell ref="I162:J162"/>
    <mergeCell ref="A162:H162"/>
    <mergeCell ref="A170:B170"/>
    <mergeCell ref="I112:J112"/>
    <mergeCell ref="I128:J128"/>
    <mergeCell ref="I138:J138"/>
    <mergeCell ref="I148:J148"/>
    <mergeCell ref="I158:J158"/>
    <mergeCell ref="I160:J160"/>
    <mergeCell ref="A163:G163"/>
    <mergeCell ref="A164:G164"/>
    <mergeCell ref="C171:G171"/>
    <mergeCell ref="A173:B173"/>
    <mergeCell ref="C174:G174"/>
    <mergeCell ref="A166:H166"/>
    <mergeCell ref="I166:J166"/>
    <mergeCell ref="A168:H168"/>
    <mergeCell ref="I168:J168"/>
  </mergeCells>
  <pageMargins left="0.4" right="0.2" top="0.2" bottom="0.4" header="0.2" footer="0.2"/>
  <pageSetup paperSize="9" scale="65" fitToHeight="0" orientation="portrait" r:id="rId1"/>
  <headerFooter>
    <oddHeader>&amp;L&amp;8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K176"/>
  <sheetViews>
    <sheetView topLeftCell="M1" workbookViewId="0">
      <selection activeCell="AE13" sqref="AE13"/>
    </sheetView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30805</v>
      </c>
      <c r="M1">
        <v>10</v>
      </c>
    </row>
    <row r="12" spans="1:133" x14ac:dyDescent="0.2">
      <c r="A12" s="1">
        <v>1</v>
      </c>
      <c r="B12" s="1">
        <v>172</v>
      </c>
      <c r="C12" s="1">
        <v>0</v>
      </c>
      <c r="D12" s="1">
        <f>ROW(A140)</f>
        <v>140</v>
      </c>
      <c r="E12" s="1">
        <v>0</v>
      </c>
      <c r="F12" s="1" t="s">
        <v>4</v>
      </c>
      <c r="G12" s="1" t="s">
        <v>209</v>
      </c>
      <c r="H12" s="1" t="s">
        <v>3</v>
      </c>
      <c r="I12" s="1">
        <v>0</v>
      </c>
      <c r="J12" s="1" t="s">
        <v>3</v>
      </c>
      <c r="K12" s="1">
        <v>0</v>
      </c>
      <c r="L12" s="1"/>
      <c r="M12" s="1"/>
      <c r="N12" s="1"/>
      <c r="O12" s="1">
        <v>0</v>
      </c>
      <c r="P12" s="1">
        <v>0</v>
      </c>
      <c r="Q12" s="1">
        <v>0</v>
      </c>
      <c r="R12" s="1">
        <v>108</v>
      </c>
      <c r="S12" s="1"/>
      <c r="T12" s="1"/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213</v>
      </c>
      <c r="AC12" s="1" t="s">
        <v>214</v>
      </c>
      <c r="AD12" s="1" t="s">
        <v>216</v>
      </c>
      <c r="AE12" s="1" t="s">
        <v>217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/>
      <c r="BC12" s="1"/>
      <c r="BD12" s="1"/>
      <c r="BE12" s="1"/>
      <c r="BF12" s="1"/>
      <c r="BG12" s="1"/>
      <c r="BH12" s="1" t="s">
        <v>6</v>
      </c>
      <c r="BI12" s="1" t="s">
        <v>7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8</v>
      </c>
      <c r="BZ12" s="1" t="s">
        <v>9</v>
      </c>
      <c r="CA12" s="1" t="s">
        <v>10</v>
      </c>
      <c r="CB12" s="1" t="s">
        <v>10</v>
      </c>
      <c r="CC12" s="1" t="s">
        <v>10</v>
      </c>
      <c r="CD12" s="1" t="s">
        <v>10</v>
      </c>
      <c r="CE12" s="1" t="s">
        <v>3</v>
      </c>
      <c r="CF12" s="1">
        <v>0</v>
      </c>
      <c r="CG12" s="1">
        <v>0</v>
      </c>
      <c r="CH12" s="1">
        <v>8</v>
      </c>
      <c r="CI12" s="1" t="s">
        <v>3</v>
      </c>
      <c r="CJ12" s="1" t="s">
        <v>3</v>
      </c>
      <c r="CK12" s="1">
        <v>0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 x14ac:dyDescent="0.2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45" x14ac:dyDescent="0.2">
      <c r="A18" s="2">
        <v>52</v>
      </c>
      <c r="B18" s="2">
        <f t="shared" ref="B18:G18" si="0">B140</f>
        <v>172</v>
      </c>
      <c r="C18" s="2">
        <f t="shared" si="0"/>
        <v>1</v>
      </c>
      <c r="D18" s="2">
        <f t="shared" si="0"/>
        <v>12</v>
      </c>
      <c r="E18" s="2">
        <f t="shared" si="0"/>
        <v>0</v>
      </c>
      <c r="F18" s="2" t="str">
        <f t="shared" si="0"/>
        <v>Новый объект</v>
      </c>
      <c r="G18" s="2" t="str">
        <f t="shared" si="0"/>
        <v>Техническая эксплуатация наружного освещения на территории ИЦ "Сколково"</v>
      </c>
      <c r="H18" s="2"/>
      <c r="I18" s="2"/>
      <c r="J18" s="2"/>
      <c r="K18" s="2"/>
      <c r="L18" s="2"/>
      <c r="M18" s="2"/>
      <c r="N18" s="2"/>
      <c r="O18" s="2">
        <f t="shared" ref="O18:AT18" si="1">O140</f>
        <v>6978360.5800000001</v>
      </c>
      <c r="P18" s="2">
        <f t="shared" si="1"/>
        <v>4491.71</v>
      </c>
      <c r="Q18" s="2">
        <f t="shared" si="1"/>
        <v>5369880.6699999999</v>
      </c>
      <c r="R18" s="2">
        <f t="shared" si="1"/>
        <v>2264140.63</v>
      </c>
      <c r="S18" s="2">
        <f t="shared" si="1"/>
        <v>1603988.2</v>
      </c>
      <c r="T18" s="2">
        <f t="shared" si="1"/>
        <v>0</v>
      </c>
      <c r="U18" s="2">
        <f t="shared" si="1"/>
        <v>6428.8618559999995</v>
      </c>
      <c r="V18" s="2">
        <f t="shared" si="1"/>
        <v>0</v>
      </c>
      <c r="W18" s="2">
        <f t="shared" si="1"/>
        <v>0</v>
      </c>
      <c r="X18" s="2">
        <f t="shared" si="1"/>
        <v>1122791.72</v>
      </c>
      <c r="Y18" s="2">
        <f t="shared" si="1"/>
        <v>160398.81</v>
      </c>
      <c r="Z18" s="2">
        <f t="shared" si="1"/>
        <v>0</v>
      </c>
      <c r="AA18" s="2">
        <f t="shared" si="1"/>
        <v>0</v>
      </c>
      <c r="AB18" s="2">
        <f t="shared" si="1"/>
        <v>0</v>
      </c>
      <c r="AC18" s="2">
        <f t="shared" si="1"/>
        <v>0</v>
      </c>
      <c r="AD18" s="2">
        <f t="shared" si="1"/>
        <v>0</v>
      </c>
      <c r="AE18" s="2">
        <f t="shared" si="1"/>
        <v>0</v>
      </c>
      <c r="AF18" s="2">
        <f t="shared" si="1"/>
        <v>0</v>
      </c>
      <c r="AG18" s="2">
        <f t="shared" si="1"/>
        <v>0</v>
      </c>
      <c r="AH18" s="2">
        <f t="shared" si="1"/>
        <v>0</v>
      </c>
      <c r="AI18" s="2">
        <f t="shared" si="1"/>
        <v>0</v>
      </c>
      <c r="AJ18" s="2">
        <f t="shared" si="1"/>
        <v>0</v>
      </c>
      <c r="AK18" s="2">
        <f t="shared" si="1"/>
        <v>0</v>
      </c>
      <c r="AL18" s="2">
        <f t="shared" si="1"/>
        <v>0</v>
      </c>
      <c r="AM18" s="2">
        <f t="shared" si="1"/>
        <v>0</v>
      </c>
      <c r="AN18" s="2">
        <f t="shared" si="1"/>
        <v>0</v>
      </c>
      <c r="AO18" s="2">
        <f t="shared" si="1"/>
        <v>0</v>
      </c>
      <c r="AP18" s="2">
        <f t="shared" si="1"/>
        <v>0</v>
      </c>
      <c r="AQ18" s="2">
        <f t="shared" si="1"/>
        <v>0</v>
      </c>
      <c r="AR18" s="2">
        <f t="shared" si="1"/>
        <v>10706822.98</v>
      </c>
      <c r="AS18" s="2">
        <f t="shared" si="1"/>
        <v>0</v>
      </c>
      <c r="AT18" s="2">
        <f t="shared" si="1"/>
        <v>0</v>
      </c>
      <c r="AU18" s="2">
        <f t="shared" ref="AU18:BZ18" si="2">AU140</f>
        <v>10706822.98</v>
      </c>
      <c r="AV18" s="2">
        <f t="shared" si="2"/>
        <v>4491.71</v>
      </c>
      <c r="AW18" s="2">
        <f t="shared" si="2"/>
        <v>4491.71</v>
      </c>
      <c r="AX18" s="2">
        <f t="shared" si="2"/>
        <v>0</v>
      </c>
      <c r="AY18" s="2">
        <f t="shared" si="2"/>
        <v>4491.71</v>
      </c>
      <c r="AZ18" s="2">
        <f t="shared" si="2"/>
        <v>0</v>
      </c>
      <c r="BA18" s="2">
        <f t="shared" si="2"/>
        <v>0</v>
      </c>
      <c r="BB18" s="2">
        <f t="shared" si="2"/>
        <v>0</v>
      </c>
      <c r="BC18" s="2">
        <f t="shared" si="2"/>
        <v>0</v>
      </c>
      <c r="BD18" s="2">
        <f t="shared" si="2"/>
        <v>0</v>
      </c>
      <c r="BE18" s="2">
        <f t="shared" si="2"/>
        <v>0</v>
      </c>
      <c r="BF18" s="2">
        <f t="shared" si="2"/>
        <v>0</v>
      </c>
      <c r="BG18" s="2">
        <f t="shared" si="2"/>
        <v>0</v>
      </c>
      <c r="BH18" s="2">
        <f t="shared" si="2"/>
        <v>0</v>
      </c>
      <c r="BI18" s="2">
        <f t="shared" si="2"/>
        <v>0</v>
      </c>
      <c r="BJ18" s="2">
        <f t="shared" si="2"/>
        <v>0</v>
      </c>
      <c r="BK18" s="2">
        <f t="shared" si="2"/>
        <v>0</v>
      </c>
      <c r="BL18" s="2">
        <f t="shared" si="2"/>
        <v>0</v>
      </c>
      <c r="BM18" s="2">
        <f t="shared" si="2"/>
        <v>0</v>
      </c>
      <c r="BN18" s="2">
        <f t="shared" si="2"/>
        <v>0</v>
      </c>
      <c r="BO18" s="2">
        <f t="shared" si="2"/>
        <v>0</v>
      </c>
      <c r="BP18" s="2">
        <f t="shared" si="2"/>
        <v>0</v>
      </c>
      <c r="BQ18" s="2">
        <f t="shared" si="2"/>
        <v>0</v>
      </c>
      <c r="BR18" s="2">
        <f t="shared" si="2"/>
        <v>0</v>
      </c>
      <c r="BS18" s="2">
        <f t="shared" si="2"/>
        <v>0</v>
      </c>
      <c r="BT18" s="2">
        <f t="shared" si="2"/>
        <v>0</v>
      </c>
      <c r="BU18" s="2">
        <f t="shared" si="2"/>
        <v>0</v>
      </c>
      <c r="BV18" s="2">
        <f t="shared" si="2"/>
        <v>0</v>
      </c>
      <c r="BW18" s="2">
        <f t="shared" si="2"/>
        <v>0</v>
      </c>
      <c r="BX18" s="2">
        <f t="shared" si="2"/>
        <v>0</v>
      </c>
      <c r="BY18" s="2">
        <f t="shared" si="2"/>
        <v>0</v>
      </c>
      <c r="BZ18" s="2">
        <f t="shared" si="2"/>
        <v>0</v>
      </c>
      <c r="CA18" s="2">
        <f t="shared" ref="CA18:DF18" si="3">CA140</f>
        <v>0</v>
      </c>
      <c r="CB18" s="2">
        <f t="shared" si="3"/>
        <v>0</v>
      </c>
      <c r="CC18" s="2">
        <f t="shared" si="3"/>
        <v>0</v>
      </c>
      <c r="CD18" s="2">
        <f t="shared" si="3"/>
        <v>0</v>
      </c>
      <c r="CE18" s="2">
        <f t="shared" si="3"/>
        <v>0</v>
      </c>
      <c r="CF18" s="2">
        <f t="shared" si="3"/>
        <v>0</v>
      </c>
      <c r="CG18" s="2">
        <f t="shared" si="3"/>
        <v>0</v>
      </c>
      <c r="CH18" s="2">
        <f t="shared" si="3"/>
        <v>0</v>
      </c>
      <c r="CI18" s="2">
        <f t="shared" si="3"/>
        <v>0</v>
      </c>
      <c r="CJ18" s="2">
        <f t="shared" si="3"/>
        <v>0</v>
      </c>
      <c r="CK18" s="2">
        <f t="shared" si="3"/>
        <v>0</v>
      </c>
      <c r="CL18" s="2">
        <f t="shared" si="3"/>
        <v>0</v>
      </c>
      <c r="CM18" s="2">
        <f t="shared" si="3"/>
        <v>0</v>
      </c>
      <c r="CN18" s="2">
        <f t="shared" si="3"/>
        <v>0</v>
      </c>
      <c r="CO18" s="2">
        <f t="shared" si="3"/>
        <v>0</v>
      </c>
      <c r="CP18" s="2">
        <f t="shared" si="3"/>
        <v>0</v>
      </c>
      <c r="CQ18" s="2">
        <f t="shared" si="3"/>
        <v>0</v>
      </c>
      <c r="CR18" s="2">
        <f t="shared" si="3"/>
        <v>0</v>
      </c>
      <c r="CS18" s="2">
        <f t="shared" si="3"/>
        <v>0</v>
      </c>
      <c r="CT18" s="2">
        <f t="shared" si="3"/>
        <v>0</v>
      </c>
      <c r="CU18" s="2">
        <f t="shared" si="3"/>
        <v>0</v>
      </c>
      <c r="CV18" s="2">
        <f t="shared" si="3"/>
        <v>0</v>
      </c>
      <c r="CW18" s="2">
        <f t="shared" si="3"/>
        <v>0</v>
      </c>
      <c r="CX18" s="2">
        <f t="shared" si="3"/>
        <v>0</v>
      </c>
      <c r="CY18" s="2">
        <f t="shared" si="3"/>
        <v>0</v>
      </c>
      <c r="CZ18" s="2">
        <f t="shared" si="3"/>
        <v>0</v>
      </c>
      <c r="DA18" s="2">
        <f t="shared" si="3"/>
        <v>0</v>
      </c>
      <c r="DB18" s="2">
        <f t="shared" si="3"/>
        <v>0</v>
      </c>
      <c r="DC18" s="2">
        <f t="shared" si="3"/>
        <v>0</v>
      </c>
      <c r="DD18" s="2">
        <f t="shared" si="3"/>
        <v>0</v>
      </c>
      <c r="DE18" s="2">
        <f t="shared" si="3"/>
        <v>0</v>
      </c>
      <c r="DF18" s="2">
        <f t="shared" si="3"/>
        <v>0</v>
      </c>
      <c r="DG18" s="3">
        <f t="shared" ref="DG18:EL18" si="4">DG140</f>
        <v>0</v>
      </c>
      <c r="DH18" s="3">
        <f t="shared" si="4"/>
        <v>0</v>
      </c>
      <c r="DI18" s="3">
        <f t="shared" si="4"/>
        <v>0</v>
      </c>
      <c r="DJ18" s="3">
        <f t="shared" si="4"/>
        <v>0</v>
      </c>
      <c r="DK18" s="3">
        <f t="shared" si="4"/>
        <v>0</v>
      </c>
      <c r="DL18" s="3">
        <f t="shared" si="4"/>
        <v>0</v>
      </c>
      <c r="DM18" s="3">
        <f t="shared" si="4"/>
        <v>0</v>
      </c>
      <c r="DN18" s="3">
        <f t="shared" si="4"/>
        <v>0</v>
      </c>
      <c r="DO18" s="3">
        <f t="shared" si="4"/>
        <v>0</v>
      </c>
      <c r="DP18" s="3">
        <f t="shared" si="4"/>
        <v>0</v>
      </c>
      <c r="DQ18" s="3">
        <f t="shared" si="4"/>
        <v>0</v>
      </c>
      <c r="DR18" s="3">
        <f t="shared" si="4"/>
        <v>0</v>
      </c>
      <c r="DS18" s="3">
        <f t="shared" si="4"/>
        <v>0</v>
      </c>
      <c r="DT18" s="3">
        <f t="shared" si="4"/>
        <v>0</v>
      </c>
      <c r="DU18" s="3">
        <f t="shared" si="4"/>
        <v>0</v>
      </c>
      <c r="DV18" s="3">
        <f t="shared" si="4"/>
        <v>0</v>
      </c>
      <c r="DW18" s="3">
        <f t="shared" si="4"/>
        <v>0</v>
      </c>
      <c r="DX18" s="3">
        <f t="shared" si="4"/>
        <v>0</v>
      </c>
      <c r="DY18" s="3">
        <f t="shared" si="4"/>
        <v>0</v>
      </c>
      <c r="DZ18" s="3">
        <f t="shared" si="4"/>
        <v>0</v>
      </c>
      <c r="EA18" s="3">
        <f t="shared" si="4"/>
        <v>0</v>
      </c>
      <c r="EB18" s="3">
        <f t="shared" si="4"/>
        <v>0</v>
      </c>
      <c r="EC18" s="3">
        <f t="shared" si="4"/>
        <v>0</v>
      </c>
      <c r="ED18" s="3">
        <f t="shared" si="4"/>
        <v>0</v>
      </c>
      <c r="EE18" s="3">
        <f t="shared" si="4"/>
        <v>0</v>
      </c>
      <c r="EF18" s="3">
        <f t="shared" si="4"/>
        <v>0</v>
      </c>
      <c r="EG18" s="3">
        <f t="shared" si="4"/>
        <v>0</v>
      </c>
      <c r="EH18" s="3">
        <f t="shared" si="4"/>
        <v>0</v>
      </c>
      <c r="EI18" s="3">
        <f t="shared" si="4"/>
        <v>0</v>
      </c>
      <c r="EJ18" s="3">
        <f t="shared" si="4"/>
        <v>0</v>
      </c>
      <c r="EK18" s="3">
        <f t="shared" si="4"/>
        <v>0</v>
      </c>
      <c r="EL18" s="3">
        <f t="shared" si="4"/>
        <v>0</v>
      </c>
      <c r="EM18" s="3">
        <f t="shared" ref="EM18:FR18" si="5">EM140</f>
        <v>0</v>
      </c>
      <c r="EN18" s="3">
        <f t="shared" si="5"/>
        <v>0</v>
      </c>
      <c r="EO18" s="3">
        <f t="shared" si="5"/>
        <v>0</v>
      </c>
      <c r="EP18" s="3">
        <f t="shared" si="5"/>
        <v>0</v>
      </c>
      <c r="EQ18" s="3">
        <f t="shared" si="5"/>
        <v>0</v>
      </c>
      <c r="ER18" s="3">
        <f t="shared" si="5"/>
        <v>0</v>
      </c>
      <c r="ES18" s="3">
        <f t="shared" si="5"/>
        <v>0</v>
      </c>
      <c r="ET18" s="3">
        <f t="shared" si="5"/>
        <v>0</v>
      </c>
      <c r="EU18" s="3">
        <f t="shared" si="5"/>
        <v>0</v>
      </c>
      <c r="EV18" s="3">
        <f t="shared" si="5"/>
        <v>0</v>
      </c>
      <c r="EW18" s="3">
        <f t="shared" si="5"/>
        <v>0</v>
      </c>
      <c r="EX18" s="3">
        <f t="shared" si="5"/>
        <v>0</v>
      </c>
      <c r="EY18" s="3">
        <f t="shared" si="5"/>
        <v>0</v>
      </c>
      <c r="EZ18" s="3">
        <f t="shared" si="5"/>
        <v>0</v>
      </c>
      <c r="FA18" s="3">
        <f t="shared" si="5"/>
        <v>0</v>
      </c>
      <c r="FB18" s="3">
        <f t="shared" si="5"/>
        <v>0</v>
      </c>
      <c r="FC18" s="3">
        <f t="shared" si="5"/>
        <v>0</v>
      </c>
      <c r="FD18" s="3">
        <f t="shared" si="5"/>
        <v>0</v>
      </c>
      <c r="FE18" s="3">
        <f t="shared" si="5"/>
        <v>0</v>
      </c>
      <c r="FF18" s="3">
        <f t="shared" si="5"/>
        <v>0</v>
      </c>
      <c r="FG18" s="3">
        <f t="shared" si="5"/>
        <v>0</v>
      </c>
      <c r="FH18" s="3">
        <f t="shared" si="5"/>
        <v>0</v>
      </c>
      <c r="FI18" s="3">
        <f t="shared" si="5"/>
        <v>0</v>
      </c>
      <c r="FJ18" s="3">
        <f t="shared" si="5"/>
        <v>0</v>
      </c>
      <c r="FK18" s="3">
        <f t="shared" si="5"/>
        <v>0</v>
      </c>
      <c r="FL18" s="3">
        <f t="shared" si="5"/>
        <v>0</v>
      </c>
      <c r="FM18" s="3">
        <f t="shared" si="5"/>
        <v>0</v>
      </c>
      <c r="FN18" s="3">
        <f t="shared" si="5"/>
        <v>0</v>
      </c>
      <c r="FO18" s="3">
        <f t="shared" si="5"/>
        <v>0</v>
      </c>
      <c r="FP18" s="3">
        <f t="shared" si="5"/>
        <v>0</v>
      </c>
      <c r="FQ18" s="3">
        <f t="shared" si="5"/>
        <v>0</v>
      </c>
      <c r="FR18" s="3">
        <f t="shared" si="5"/>
        <v>0</v>
      </c>
      <c r="FS18" s="3">
        <f t="shared" ref="FS18:GX18" si="6">FS140</f>
        <v>0</v>
      </c>
      <c r="FT18" s="3">
        <f t="shared" si="6"/>
        <v>0</v>
      </c>
      <c r="FU18" s="3">
        <f t="shared" si="6"/>
        <v>0</v>
      </c>
      <c r="FV18" s="3">
        <f t="shared" si="6"/>
        <v>0</v>
      </c>
      <c r="FW18" s="3">
        <f t="shared" si="6"/>
        <v>0</v>
      </c>
      <c r="FX18" s="3">
        <f t="shared" si="6"/>
        <v>0</v>
      </c>
      <c r="FY18" s="3">
        <f t="shared" si="6"/>
        <v>0</v>
      </c>
      <c r="FZ18" s="3">
        <f t="shared" si="6"/>
        <v>0</v>
      </c>
      <c r="GA18" s="3">
        <f t="shared" si="6"/>
        <v>0</v>
      </c>
      <c r="GB18" s="3">
        <f t="shared" si="6"/>
        <v>0</v>
      </c>
      <c r="GC18" s="3">
        <f t="shared" si="6"/>
        <v>0</v>
      </c>
      <c r="GD18" s="3">
        <f t="shared" si="6"/>
        <v>0</v>
      </c>
      <c r="GE18" s="3">
        <f t="shared" si="6"/>
        <v>0</v>
      </c>
      <c r="GF18" s="3">
        <f t="shared" si="6"/>
        <v>0</v>
      </c>
      <c r="GG18" s="3">
        <f t="shared" si="6"/>
        <v>0</v>
      </c>
      <c r="GH18" s="3">
        <f t="shared" si="6"/>
        <v>0</v>
      </c>
      <c r="GI18" s="3">
        <f t="shared" si="6"/>
        <v>0</v>
      </c>
      <c r="GJ18" s="3">
        <f t="shared" si="6"/>
        <v>0</v>
      </c>
      <c r="GK18" s="3">
        <f t="shared" si="6"/>
        <v>0</v>
      </c>
      <c r="GL18" s="3">
        <f t="shared" si="6"/>
        <v>0</v>
      </c>
      <c r="GM18" s="3">
        <f t="shared" si="6"/>
        <v>0</v>
      </c>
      <c r="GN18" s="3">
        <f t="shared" si="6"/>
        <v>0</v>
      </c>
      <c r="GO18" s="3">
        <f t="shared" si="6"/>
        <v>0</v>
      </c>
      <c r="GP18" s="3">
        <f t="shared" si="6"/>
        <v>0</v>
      </c>
      <c r="GQ18" s="3">
        <f t="shared" si="6"/>
        <v>0</v>
      </c>
      <c r="GR18" s="3">
        <f t="shared" si="6"/>
        <v>0</v>
      </c>
      <c r="GS18" s="3">
        <f t="shared" si="6"/>
        <v>0</v>
      </c>
      <c r="GT18" s="3">
        <f t="shared" si="6"/>
        <v>0</v>
      </c>
      <c r="GU18" s="3">
        <f t="shared" si="6"/>
        <v>0</v>
      </c>
      <c r="GV18" s="3">
        <f t="shared" si="6"/>
        <v>0</v>
      </c>
      <c r="GW18" s="3">
        <f t="shared" si="6"/>
        <v>0</v>
      </c>
      <c r="GX18" s="3">
        <f t="shared" si="6"/>
        <v>0</v>
      </c>
    </row>
    <row r="20" spans="1:245" x14ac:dyDescent="0.2">
      <c r="A20" s="1">
        <v>3</v>
      </c>
      <c r="B20" s="1">
        <v>1</v>
      </c>
      <c r="C20" s="1"/>
      <c r="D20" s="1">
        <f>ROW(A111)</f>
        <v>111</v>
      </c>
      <c r="E20" s="1"/>
      <c r="F20" s="1">
        <v>1</v>
      </c>
      <c r="G20" s="1" t="s">
        <v>11</v>
      </c>
      <c r="H20" s="1" t="s">
        <v>3</v>
      </c>
      <c r="I20" s="1">
        <v>0</v>
      </c>
      <c r="J20" s="1" t="s">
        <v>210</v>
      </c>
      <c r="K20" s="1">
        <v>0</v>
      </c>
      <c r="L20" s="1" t="s">
        <v>3</v>
      </c>
      <c r="M20" s="1"/>
      <c r="N20" s="1"/>
      <c r="O20" s="1"/>
      <c r="P20" s="1"/>
      <c r="Q20" s="1"/>
      <c r="R20" s="1"/>
      <c r="S20" s="1"/>
      <c r="T20" s="1"/>
      <c r="U20" s="1" t="s">
        <v>3</v>
      </c>
      <c r="V20" s="1">
        <v>0</v>
      </c>
      <c r="W20" s="1"/>
      <c r="X20" s="1"/>
      <c r="Y20" s="1"/>
      <c r="Z20" s="1"/>
      <c r="AA20" s="1"/>
      <c r="AB20" s="1" t="s">
        <v>3</v>
      </c>
      <c r="AC20" s="1" t="s">
        <v>3</v>
      </c>
      <c r="AD20" s="1" t="s">
        <v>3</v>
      </c>
      <c r="AE20" s="1" t="s">
        <v>3</v>
      </c>
      <c r="AF20" s="1" t="s">
        <v>3</v>
      </c>
      <c r="AG20" s="1" t="s">
        <v>3</v>
      </c>
      <c r="AH20" s="1"/>
      <c r="AI20" s="1"/>
      <c r="AJ20" s="1"/>
      <c r="AK20" s="1"/>
      <c r="AL20" s="1"/>
      <c r="AM20" s="1"/>
      <c r="AN20" s="1"/>
      <c r="AO20" s="1"/>
      <c r="AP20" s="1" t="s">
        <v>3</v>
      </c>
      <c r="AQ20" s="1" t="s">
        <v>3</v>
      </c>
      <c r="AR20" s="1" t="s">
        <v>3</v>
      </c>
      <c r="AS20" s="1"/>
      <c r="AT20" s="1"/>
      <c r="AU20" s="1"/>
      <c r="AV20" s="1"/>
      <c r="AW20" s="1"/>
      <c r="AX20" s="1"/>
      <c r="AY20" s="1"/>
      <c r="AZ20" s="1" t="s">
        <v>3</v>
      </c>
      <c r="BA20" s="1"/>
      <c r="BB20" s="1" t="s">
        <v>3</v>
      </c>
      <c r="BC20" s="1" t="s">
        <v>3</v>
      </c>
      <c r="BD20" s="1" t="s">
        <v>3</v>
      </c>
      <c r="BE20" s="1" t="s">
        <v>3</v>
      </c>
      <c r="BF20" s="1" t="s">
        <v>3</v>
      </c>
      <c r="BG20" s="1" t="s">
        <v>3</v>
      </c>
      <c r="BH20" s="1" t="s">
        <v>3</v>
      </c>
      <c r="BI20" s="1" t="s">
        <v>3</v>
      </c>
      <c r="BJ20" s="1" t="s">
        <v>3</v>
      </c>
      <c r="BK20" s="1" t="s">
        <v>3</v>
      </c>
      <c r="BL20" s="1" t="s">
        <v>3</v>
      </c>
      <c r="BM20" s="1" t="s">
        <v>3</v>
      </c>
      <c r="BN20" s="1" t="s">
        <v>3</v>
      </c>
      <c r="BO20" s="1" t="s">
        <v>3</v>
      </c>
      <c r="BP20" s="1" t="s">
        <v>3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3</v>
      </c>
      <c r="CJ20" s="1" t="s">
        <v>3</v>
      </c>
    </row>
    <row r="22" spans="1:245" x14ac:dyDescent="0.2">
      <c r="A22" s="2">
        <v>52</v>
      </c>
      <c r="B22" s="2">
        <f t="shared" ref="B22:G22" si="7">B111</f>
        <v>1</v>
      </c>
      <c r="C22" s="2">
        <f t="shared" si="7"/>
        <v>3</v>
      </c>
      <c r="D22" s="2">
        <f t="shared" si="7"/>
        <v>20</v>
      </c>
      <c r="E22" s="2">
        <f t="shared" si="7"/>
        <v>0</v>
      </c>
      <c r="F22" s="2">
        <f t="shared" si="7"/>
        <v>1</v>
      </c>
      <c r="G22" s="2" t="str">
        <f t="shared" si="7"/>
        <v>Новая локальная смета</v>
      </c>
      <c r="H22" s="2"/>
      <c r="I22" s="2"/>
      <c r="J22" s="2"/>
      <c r="K22" s="2"/>
      <c r="L22" s="2"/>
      <c r="M22" s="2"/>
      <c r="N22" s="2"/>
      <c r="O22" s="2">
        <f t="shared" ref="O22:AT22" si="8">O111</f>
        <v>6978360.5800000001</v>
      </c>
      <c r="P22" s="2">
        <f t="shared" si="8"/>
        <v>4491.71</v>
      </c>
      <c r="Q22" s="2">
        <f t="shared" si="8"/>
        <v>5369880.6699999999</v>
      </c>
      <c r="R22" s="2">
        <f t="shared" si="8"/>
        <v>2264140.63</v>
      </c>
      <c r="S22" s="2">
        <f t="shared" si="8"/>
        <v>1603988.2</v>
      </c>
      <c r="T22" s="2">
        <f t="shared" si="8"/>
        <v>0</v>
      </c>
      <c r="U22" s="2">
        <f t="shared" si="8"/>
        <v>6428.8618559999995</v>
      </c>
      <c r="V22" s="2">
        <f t="shared" si="8"/>
        <v>0</v>
      </c>
      <c r="W22" s="2">
        <f t="shared" si="8"/>
        <v>0</v>
      </c>
      <c r="X22" s="2">
        <f t="shared" si="8"/>
        <v>1122791.72</v>
      </c>
      <c r="Y22" s="2">
        <f t="shared" si="8"/>
        <v>160398.81</v>
      </c>
      <c r="Z22" s="2">
        <f t="shared" si="8"/>
        <v>0</v>
      </c>
      <c r="AA22" s="2">
        <f t="shared" si="8"/>
        <v>0</v>
      </c>
      <c r="AB22" s="2">
        <f t="shared" si="8"/>
        <v>0</v>
      </c>
      <c r="AC22" s="2">
        <f t="shared" si="8"/>
        <v>0</v>
      </c>
      <c r="AD22" s="2">
        <f t="shared" si="8"/>
        <v>0</v>
      </c>
      <c r="AE22" s="2">
        <f t="shared" si="8"/>
        <v>0</v>
      </c>
      <c r="AF22" s="2">
        <f t="shared" si="8"/>
        <v>0</v>
      </c>
      <c r="AG22" s="2">
        <f t="shared" si="8"/>
        <v>0</v>
      </c>
      <c r="AH22" s="2">
        <f t="shared" si="8"/>
        <v>0</v>
      </c>
      <c r="AI22" s="2">
        <f t="shared" si="8"/>
        <v>0</v>
      </c>
      <c r="AJ22" s="2">
        <f t="shared" si="8"/>
        <v>0</v>
      </c>
      <c r="AK22" s="2">
        <f t="shared" si="8"/>
        <v>0</v>
      </c>
      <c r="AL22" s="2">
        <f t="shared" si="8"/>
        <v>0</v>
      </c>
      <c r="AM22" s="2">
        <f t="shared" si="8"/>
        <v>0</v>
      </c>
      <c r="AN22" s="2">
        <f t="shared" si="8"/>
        <v>0</v>
      </c>
      <c r="AO22" s="2">
        <f t="shared" si="8"/>
        <v>0</v>
      </c>
      <c r="AP22" s="2">
        <f t="shared" si="8"/>
        <v>0</v>
      </c>
      <c r="AQ22" s="2">
        <f t="shared" si="8"/>
        <v>0</v>
      </c>
      <c r="AR22" s="2">
        <f t="shared" si="8"/>
        <v>10706822.98</v>
      </c>
      <c r="AS22" s="2">
        <f t="shared" si="8"/>
        <v>0</v>
      </c>
      <c r="AT22" s="2">
        <f t="shared" si="8"/>
        <v>0</v>
      </c>
      <c r="AU22" s="2">
        <f t="shared" ref="AU22:BZ22" si="9">AU111</f>
        <v>10706822.98</v>
      </c>
      <c r="AV22" s="2">
        <f t="shared" si="9"/>
        <v>4491.71</v>
      </c>
      <c r="AW22" s="2">
        <f t="shared" si="9"/>
        <v>4491.71</v>
      </c>
      <c r="AX22" s="2">
        <f t="shared" si="9"/>
        <v>0</v>
      </c>
      <c r="AY22" s="2">
        <f t="shared" si="9"/>
        <v>4491.71</v>
      </c>
      <c r="AZ22" s="2">
        <f t="shared" si="9"/>
        <v>0</v>
      </c>
      <c r="BA22" s="2">
        <f t="shared" si="9"/>
        <v>0</v>
      </c>
      <c r="BB22" s="2">
        <f t="shared" si="9"/>
        <v>0</v>
      </c>
      <c r="BC22" s="2">
        <f t="shared" si="9"/>
        <v>0</v>
      </c>
      <c r="BD22" s="2">
        <f t="shared" si="9"/>
        <v>0</v>
      </c>
      <c r="BE22" s="2">
        <f t="shared" si="9"/>
        <v>0</v>
      </c>
      <c r="BF22" s="2">
        <f t="shared" si="9"/>
        <v>0</v>
      </c>
      <c r="BG22" s="2">
        <f t="shared" si="9"/>
        <v>0</v>
      </c>
      <c r="BH22" s="2">
        <f t="shared" si="9"/>
        <v>0</v>
      </c>
      <c r="BI22" s="2">
        <f t="shared" si="9"/>
        <v>0</v>
      </c>
      <c r="BJ22" s="2">
        <f t="shared" si="9"/>
        <v>0</v>
      </c>
      <c r="BK22" s="2">
        <f t="shared" si="9"/>
        <v>0</v>
      </c>
      <c r="BL22" s="2">
        <f t="shared" si="9"/>
        <v>0</v>
      </c>
      <c r="BM22" s="2">
        <f t="shared" si="9"/>
        <v>0</v>
      </c>
      <c r="BN22" s="2">
        <f t="shared" si="9"/>
        <v>0</v>
      </c>
      <c r="BO22" s="2">
        <f t="shared" si="9"/>
        <v>0</v>
      </c>
      <c r="BP22" s="2">
        <f t="shared" si="9"/>
        <v>0</v>
      </c>
      <c r="BQ22" s="2">
        <f t="shared" si="9"/>
        <v>0</v>
      </c>
      <c r="BR22" s="2">
        <f t="shared" si="9"/>
        <v>0</v>
      </c>
      <c r="BS22" s="2">
        <f t="shared" si="9"/>
        <v>0</v>
      </c>
      <c r="BT22" s="2">
        <f t="shared" si="9"/>
        <v>0</v>
      </c>
      <c r="BU22" s="2">
        <f t="shared" si="9"/>
        <v>0</v>
      </c>
      <c r="BV22" s="2">
        <f t="shared" si="9"/>
        <v>0</v>
      </c>
      <c r="BW22" s="2">
        <f t="shared" si="9"/>
        <v>0</v>
      </c>
      <c r="BX22" s="2">
        <f t="shared" si="9"/>
        <v>0</v>
      </c>
      <c r="BY22" s="2">
        <f t="shared" si="9"/>
        <v>0</v>
      </c>
      <c r="BZ22" s="2">
        <f t="shared" si="9"/>
        <v>0</v>
      </c>
      <c r="CA22" s="2">
        <f t="shared" ref="CA22:DF22" si="10">CA111</f>
        <v>0</v>
      </c>
      <c r="CB22" s="2">
        <f t="shared" si="10"/>
        <v>0</v>
      </c>
      <c r="CC22" s="2">
        <f t="shared" si="10"/>
        <v>0</v>
      </c>
      <c r="CD22" s="2">
        <f t="shared" si="10"/>
        <v>0</v>
      </c>
      <c r="CE22" s="2">
        <f t="shared" si="10"/>
        <v>0</v>
      </c>
      <c r="CF22" s="2">
        <f t="shared" si="10"/>
        <v>0</v>
      </c>
      <c r="CG22" s="2">
        <f t="shared" si="10"/>
        <v>0</v>
      </c>
      <c r="CH22" s="2">
        <f t="shared" si="10"/>
        <v>0</v>
      </c>
      <c r="CI22" s="2">
        <f t="shared" si="10"/>
        <v>0</v>
      </c>
      <c r="CJ22" s="2">
        <f t="shared" si="10"/>
        <v>0</v>
      </c>
      <c r="CK22" s="2">
        <f t="shared" si="10"/>
        <v>0</v>
      </c>
      <c r="CL22" s="2">
        <f t="shared" si="10"/>
        <v>0</v>
      </c>
      <c r="CM22" s="2">
        <f t="shared" si="10"/>
        <v>0</v>
      </c>
      <c r="CN22" s="2">
        <f t="shared" si="10"/>
        <v>0</v>
      </c>
      <c r="CO22" s="2">
        <f t="shared" si="10"/>
        <v>0</v>
      </c>
      <c r="CP22" s="2">
        <f t="shared" si="10"/>
        <v>0</v>
      </c>
      <c r="CQ22" s="2">
        <f t="shared" si="10"/>
        <v>0</v>
      </c>
      <c r="CR22" s="2">
        <f t="shared" si="10"/>
        <v>0</v>
      </c>
      <c r="CS22" s="2">
        <f t="shared" si="10"/>
        <v>0</v>
      </c>
      <c r="CT22" s="2">
        <f t="shared" si="10"/>
        <v>0</v>
      </c>
      <c r="CU22" s="2">
        <f t="shared" si="10"/>
        <v>0</v>
      </c>
      <c r="CV22" s="2">
        <f t="shared" si="10"/>
        <v>0</v>
      </c>
      <c r="CW22" s="2">
        <f t="shared" si="10"/>
        <v>0</v>
      </c>
      <c r="CX22" s="2">
        <f t="shared" si="10"/>
        <v>0</v>
      </c>
      <c r="CY22" s="2">
        <f t="shared" si="10"/>
        <v>0</v>
      </c>
      <c r="CZ22" s="2">
        <f t="shared" si="10"/>
        <v>0</v>
      </c>
      <c r="DA22" s="2">
        <f t="shared" si="10"/>
        <v>0</v>
      </c>
      <c r="DB22" s="2">
        <f t="shared" si="10"/>
        <v>0</v>
      </c>
      <c r="DC22" s="2">
        <f t="shared" si="10"/>
        <v>0</v>
      </c>
      <c r="DD22" s="2">
        <f t="shared" si="10"/>
        <v>0</v>
      </c>
      <c r="DE22" s="2">
        <f t="shared" si="10"/>
        <v>0</v>
      </c>
      <c r="DF22" s="2">
        <f t="shared" si="10"/>
        <v>0</v>
      </c>
      <c r="DG22" s="3">
        <f t="shared" ref="DG22:EL22" si="11">DG111</f>
        <v>0</v>
      </c>
      <c r="DH22" s="3">
        <f t="shared" si="11"/>
        <v>0</v>
      </c>
      <c r="DI22" s="3">
        <f t="shared" si="11"/>
        <v>0</v>
      </c>
      <c r="DJ22" s="3">
        <f t="shared" si="11"/>
        <v>0</v>
      </c>
      <c r="DK22" s="3">
        <f t="shared" si="11"/>
        <v>0</v>
      </c>
      <c r="DL22" s="3">
        <f t="shared" si="11"/>
        <v>0</v>
      </c>
      <c r="DM22" s="3">
        <f t="shared" si="11"/>
        <v>0</v>
      </c>
      <c r="DN22" s="3">
        <f t="shared" si="11"/>
        <v>0</v>
      </c>
      <c r="DO22" s="3">
        <f t="shared" si="11"/>
        <v>0</v>
      </c>
      <c r="DP22" s="3">
        <f t="shared" si="11"/>
        <v>0</v>
      </c>
      <c r="DQ22" s="3">
        <f t="shared" si="11"/>
        <v>0</v>
      </c>
      <c r="DR22" s="3">
        <f t="shared" si="11"/>
        <v>0</v>
      </c>
      <c r="DS22" s="3">
        <f t="shared" si="11"/>
        <v>0</v>
      </c>
      <c r="DT22" s="3">
        <f t="shared" si="11"/>
        <v>0</v>
      </c>
      <c r="DU22" s="3">
        <f t="shared" si="11"/>
        <v>0</v>
      </c>
      <c r="DV22" s="3">
        <f t="shared" si="11"/>
        <v>0</v>
      </c>
      <c r="DW22" s="3">
        <f t="shared" si="11"/>
        <v>0</v>
      </c>
      <c r="DX22" s="3">
        <f t="shared" si="11"/>
        <v>0</v>
      </c>
      <c r="DY22" s="3">
        <f t="shared" si="11"/>
        <v>0</v>
      </c>
      <c r="DZ22" s="3">
        <f t="shared" si="11"/>
        <v>0</v>
      </c>
      <c r="EA22" s="3">
        <f t="shared" si="11"/>
        <v>0</v>
      </c>
      <c r="EB22" s="3">
        <f t="shared" si="11"/>
        <v>0</v>
      </c>
      <c r="EC22" s="3">
        <f t="shared" si="11"/>
        <v>0</v>
      </c>
      <c r="ED22" s="3">
        <f t="shared" si="11"/>
        <v>0</v>
      </c>
      <c r="EE22" s="3">
        <f t="shared" si="11"/>
        <v>0</v>
      </c>
      <c r="EF22" s="3">
        <f t="shared" si="11"/>
        <v>0</v>
      </c>
      <c r="EG22" s="3">
        <f t="shared" si="11"/>
        <v>0</v>
      </c>
      <c r="EH22" s="3">
        <f t="shared" si="11"/>
        <v>0</v>
      </c>
      <c r="EI22" s="3">
        <f t="shared" si="11"/>
        <v>0</v>
      </c>
      <c r="EJ22" s="3">
        <f t="shared" si="11"/>
        <v>0</v>
      </c>
      <c r="EK22" s="3">
        <f t="shared" si="11"/>
        <v>0</v>
      </c>
      <c r="EL22" s="3">
        <f t="shared" si="11"/>
        <v>0</v>
      </c>
      <c r="EM22" s="3">
        <f t="shared" ref="EM22:FR22" si="12">EM111</f>
        <v>0</v>
      </c>
      <c r="EN22" s="3">
        <f t="shared" si="12"/>
        <v>0</v>
      </c>
      <c r="EO22" s="3">
        <f t="shared" si="12"/>
        <v>0</v>
      </c>
      <c r="EP22" s="3">
        <f t="shared" si="12"/>
        <v>0</v>
      </c>
      <c r="EQ22" s="3">
        <f t="shared" si="12"/>
        <v>0</v>
      </c>
      <c r="ER22" s="3">
        <f t="shared" si="12"/>
        <v>0</v>
      </c>
      <c r="ES22" s="3">
        <f t="shared" si="12"/>
        <v>0</v>
      </c>
      <c r="ET22" s="3">
        <f t="shared" si="12"/>
        <v>0</v>
      </c>
      <c r="EU22" s="3">
        <f t="shared" si="12"/>
        <v>0</v>
      </c>
      <c r="EV22" s="3">
        <f t="shared" si="12"/>
        <v>0</v>
      </c>
      <c r="EW22" s="3">
        <f t="shared" si="12"/>
        <v>0</v>
      </c>
      <c r="EX22" s="3">
        <f t="shared" si="12"/>
        <v>0</v>
      </c>
      <c r="EY22" s="3">
        <f t="shared" si="12"/>
        <v>0</v>
      </c>
      <c r="EZ22" s="3">
        <f t="shared" si="12"/>
        <v>0</v>
      </c>
      <c r="FA22" s="3">
        <f t="shared" si="12"/>
        <v>0</v>
      </c>
      <c r="FB22" s="3">
        <f t="shared" si="12"/>
        <v>0</v>
      </c>
      <c r="FC22" s="3">
        <f t="shared" si="12"/>
        <v>0</v>
      </c>
      <c r="FD22" s="3">
        <f t="shared" si="12"/>
        <v>0</v>
      </c>
      <c r="FE22" s="3">
        <f t="shared" si="12"/>
        <v>0</v>
      </c>
      <c r="FF22" s="3">
        <f t="shared" si="12"/>
        <v>0</v>
      </c>
      <c r="FG22" s="3">
        <f t="shared" si="12"/>
        <v>0</v>
      </c>
      <c r="FH22" s="3">
        <f t="shared" si="12"/>
        <v>0</v>
      </c>
      <c r="FI22" s="3">
        <f t="shared" si="12"/>
        <v>0</v>
      </c>
      <c r="FJ22" s="3">
        <f t="shared" si="12"/>
        <v>0</v>
      </c>
      <c r="FK22" s="3">
        <f t="shared" si="12"/>
        <v>0</v>
      </c>
      <c r="FL22" s="3">
        <f t="shared" si="12"/>
        <v>0</v>
      </c>
      <c r="FM22" s="3">
        <f t="shared" si="12"/>
        <v>0</v>
      </c>
      <c r="FN22" s="3">
        <f t="shared" si="12"/>
        <v>0</v>
      </c>
      <c r="FO22" s="3">
        <f t="shared" si="12"/>
        <v>0</v>
      </c>
      <c r="FP22" s="3">
        <f t="shared" si="12"/>
        <v>0</v>
      </c>
      <c r="FQ22" s="3">
        <f t="shared" si="12"/>
        <v>0</v>
      </c>
      <c r="FR22" s="3">
        <f t="shared" si="12"/>
        <v>0</v>
      </c>
      <c r="FS22" s="3">
        <f t="shared" ref="FS22:GX22" si="13">FS111</f>
        <v>0</v>
      </c>
      <c r="FT22" s="3">
        <f t="shared" si="13"/>
        <v>0</v>
      </c>
      <c r="FU22" s="3">
        <f t="shared" si="13"/>
        <v>0</v>
      </c>
      <c r="FV22" s="3">
        <f t="shared" si="13"/>
        <v>0</v>
      </c>
      <c r="FW22" s="3">
        <f t="shared" si="13"/>
        <v>0</v>
      </c>
      <c r="FX22" s="3">
        <f t="shared" si="13"/>
        <v>0</v>
      </c>
      <c r="FY22" s="3">
        <f t="shared" si="13"/>
        <v>0</v>
      </c>
      <c r="FZ22" s="3">
        <f t="shared" si="13"/>
        <v>0</v>
      </c>
      <c r="GA22" s="3">
        <f t="shared" si="13"/>
        <v>0</v>
      </c>
      <c r="GB22" s="3">
        <f t="shared" si="13"/>
        <v>0</v>
      </c>
      <c r="GC22" s="3">
        <f t="shared" si="13"/>
        <v>0</v>
      </c>
      <c r="GD22" s="3">
        <f t="shared" si="13"/>
        <v>0</v>
      </c>
      <c r="GE22" s="3">
        <f t="shared" si="13"/>
        <v>0</v>
      </c>
      <c r="GF22" s="3">
        <f t="shared" si="13"/>
        <v>0</v>
      </c>
      <c r="GG22" s="3">
        <f t="shared" si="13"/>
        <v>0</v>
      </c>
      <c r="GH22" s="3">
        <f t="shared" si="13"/>
        <v>0</v>
      </c>
      <c r="GI22" s="3">
        <f t="shared" si="13"/>
        <v>0</v>
      </c>
      <c r="GJ22" s="3">
        <f t="shared" si="13"/>
        <v>0</v>
      </c>
      <c r="GK22" s="3">
        <f t="shared" si="13"/>
        <v>0</v>
      </c>
      <c r="GL22" s="3">
        <f t="shared" si="13"/>
        <v>0</v>
      </c>
      <c r="GM22" s="3">
        <f t="shared" si="13"/>
        <v>0</v>
      </c>
      <c r="GN22" s="3">
        <f t="shared" si="13"/>
        <v>0</v>
      </c>
      <c r="GO22" s="3">
        <f t="shared" si="13"/>
        <v>0</v>
      </c>
      <c r="GP22" s="3">
        <f t="shared" si="13"/>
        <v>0</v>
      </c>
      <c r="GQ22" s="3">
        <f t="shared" si="13"/>
        <v>0</v>
      </c>
      <c r="GR22" s="3">
        <f t="shared" si="13"/>
        <v>0</v>
      </c>
      <c r="GS22" s="3">
        <f t="shared" si="13"/>
        <v>0</v>
      </c>
      <c r="GT22" s="3">
        <f t="shared" si="13"/>
        <v>0</v>
      </c>
      <c r="GU22" s="3">
        <f t="shared" si="13"/>
        <v>0</v>
      </c>
      <c r="GV22" s="3">
        <f t="shared" si="13"/>
        <v>0</v>
      </c>
      <c r="GW22" s="3">
        <f t="shared" si="13"/>
        <v>0</v>
      </c>
      <c r="GX22" s="3">
        <f t="shared" si="13"/>
        <v>0</v>
      </c>
    </row>
    <row r="24" spans="1:245" x14ac:dyDescent="0.2">
      <c r="A24" s="1">
        <v>4</v>
      </c>
      <c r="B24" s="1">
        <v>1</v>
      </c>
      <c r="C24" s="1"/>
      <c r="D24" s="1">
        <f>ROW(A35)</f>
        <v>35</v>
      </c>
      <c r="E24" s="1"/>
      <c r="F24" s="1" t="s">
        <v>12</v>
      </c>
      <c r="G24" s="1" t="s">
        <v>13</v>
      </c>
      <c r="H24" s="1" t="s">
        <v>3</v>
      </c>
      <c r="I24" s="1">
        <v>0</v>
      </c>
      <c r="J24" s="1"/>
      <c r="K24" s="1">
        <v>0</v>
      </c>
      <c r="L24" s="1"/>
      <c r="M24" s="1"/>
      <c r="N24" s="1"/>
      <c r="O24" s="1"/>
      <c r="P24" s="1"/>
      <c r="Q24" s="1"/>
      <c r="R24" s="1"/>
      <c r="S24" s="1"/>
      <c r="T24" s="1"/>
      <c r="U24" s="1" t="s">
        <v>3</v>
      </c>
      <c r="V24" s="1">
        <v>0</v>
      </c>
      <c r="W24" s="1"/>
      <c r="X24" s="1"/>
      <c r="Y24" s="1"/>
      <c r="Z24" s="1"/>
      <c r="AA24" s="1"/>
      <c r="AB24" s="1" t="s">
        <v>3</v>
      </c>
      <c r="AC24" s="1" t="s">
        <v>3</v>
      </c>
      <c r="AD24" s="1" t="s">
        <v>3</v>
      </c>
      <c r="AE24" s="1" t="s">
        <v>3</v>
      </c>
      <c r="AF24" s="1" t="s">
        <v>3</v>
      </c>
      <c r="AG24" s="1" t="s">
        <v>3</v>
      </c>
      <c r="AH24" s="1"/>
      <c r="AI24" s="1"/>
      <c r="AJ24" s="1"/>
      <c r="AK24" s="1"/>
      <c r="AL24" s="1"/>
      <c r="AM24" s="1"/>
      <c r="AN24" s="1"/>
      <c r="AO24" s="1"/>
      <c r="AP24" s="1" t="s">
        <v>3</v>
      </c>
      <c r="AQ24" s="1" t="s">
        <v>3</v>
      </c>
      <c r="AR24" s="1" t="s">
        <v>3</v>
      </c>
      <c r="AS24" s="1"/>
      <c r="AT24" s="1"/>
      <c r="AU24" s="1"/>
      <c r="AV24" s="1"/>
      <c r="AW24" s="1"/>
      <c r="AX24" s="1"/>
      <c r="AY24" s="1"/>
      <c r="AZ24" s="1" t="s">
        <v>3</v>
      </c>
      <c r="BA24" s="1"/>
      <c r="BB24" s="1" t="s">
        <v>3</v>
      </c>
      <c r="BC24" s="1" t="s">
        <v>3</v>
      </c>
      <c r="BD24" s="1" t="s">
        <v>3</v>
      </c>
      <c r="BE24" s="1" t="s">
        <v>3</v>
      </c>
      <c r="BF24" s="1" t="s">
        <v>3</v>
      </c>
      <c r="BG24" s="1" t="s">
        <v>3</v>
      </c>
      <c r="BH24" s="1" t="s">
        <v>3</v>
      </c>
      <c r="BI24" s="1" t="s">
        <v>3</v>
      </c>
      <c r="BJ24" s="1" t="s">
        <v>3</v>
      </c>
      <c r="BK24" s="1" t="s">
        <v>3</v>
      </c>
      <c r="BL24" s="1" t="s">
        <v>3</v>
      </c>
      <c r="BM24" s="1" t="s">
        <v>3</v>
      </c>
      <c r="BN24" s="1" t="s">
        <v>3</v>
      </c>
      <c r="BO24" s="1" t="s">
        <v>3</v>
      </c>
      <c r="BP24" s="1" t="s">
        <v>3</v>
      </c>
      <c r="BQ24" s="1"/>
      <c r="BR24" s="1"/>
      <c r="BS24" s="1"/>
      <c r="BT24" s="1"/>
      <c r="BU24" s="1"/>
      <c r="BV24" s="1"/>
      <c r="BW24" s="1"/>
      <c r="BX24" s="1">
        <v>0</v>
      </c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>
        <v>0</v>
      </c>
    </row>
    <row r="26" spans="1:245" x14ac:dyDescent="0.2">
      <c r="A26" s="2">
        <v>52</v>
      </c>
      <c r="B26" s="2">
        <f t="shared" ref="B26:G26" si="14">B35</f>
        <v>1</v>
      </c>
      <c r="C26" s="2">
        <f t="shared" si="14"/>
        <v>4</v>
      </c>
      <c r="D26" s="2">
        <f t="shared" si="14"/>
        <v>24</v>
      </c>
      <c r="E26" s="2">
        <f t="shared" si="14"/>
        <v>0</v>
      </c>
      <c r="F26" s="2" t="str">
        <f t="shared" si="14"/>
        <v>Новый раздел</v>
      </c>
      <c r="G26" s="2" t="str">
        <f t="shared" si="14"/>
        <v>Технический осмотр</v>
      </c>
      <c r="H26" s="2"/>
      <c r="I26" s="2"/>
      <c r="J26" s="2"/>
      <c r="K26" s="2"/>
      <c r="L26" s="2"/>
      <c r="M26" s="2"/>
      <c r="N26" s="2"/>
      <c r="O26" s="2">
        <f t="shared" ref="O26:AT26" si="15">O35</f>
        <v>3785622.06</v>
      </c>
      <c r="P26" s="2">
        <f t="shared" si="15"/>
        <v>162.63999999999999</v>
      </c>
      <c r="Q26" s="2">
        <f t="shared" si="15"/>
        <v>2995699.86</v>
      </c>
      <c r="R26" s="2">
        <f t="shared" si="15"/>
        <v>1272093.51</v>
      </c>
      <c r="S26" s="2">
        <f t="shared" si="15"/>
        <v>789759.56</v>
      </c>
      <c r="T26" s="2">
        <f t="shared" si="15"/>
        <v>0</v>
      </c>
      <c r="U26" s="2">
        <f t="shared" si="15"/>
        <v>3535.2357199999997</v>
      </c>
      <c r="V26" s="2">
        <f t="shared" si="15"/>
        <v>0</v>
      </c>
      <c r="W26" s="2">
        <f t="shared" si="15"/>
        <v>0</v>
      </c>
      <c r="X26" s="2">
        <f t="shared" si="15"/>
        <v>552831.68999999994</v>
      </c>
      <c r="Y26" s="2">
        <f t="shared" si="15"/>
        <v>78975.95</v>
      </c>
      <c r="Z26" s="2">
        <f t="shared" si="15"/>
        <v>0</v>
      </c>
      <c r="AA26" s="2">
        <f t="shared" si="15"/>
        <v>0</v>
      </c>
      <c r="AB26" s="2">
        <f t="shared" si="15"/>
        <v>3785622.06</v>
      </c>
      <c r="AC26" s="2">
        <f t="shared" si="15"/>
        <v>162.63999999999999</v>
      </c>
      <c r="AD26" s="2">
        <f t="shared" si="15"/>
        <v>2995699.86</v>
      </c>
      <c r="AE26" s="2">
        <f t="shared" si="15"/>
        <v>1272093.51</v>
      </c>
      <c r="AF26" s="2">
        <f t="shared" si="15"/>
        <v>789759.56</v>
      </c>
      <c r="AG26" s="2">
        <f t="shared" si="15"/>
        <v>0</v>
      </c>
      <c r="AH26" s="2">
        <f t="shared" si="15"/>
        <v>3535.2357199999997</v>
      </c>
      <c r="AI26" s="2">
        <f t="shared" si="15"/>
        <v>0</v>
      </c>
      <c r="AJ26" s="2">
        <f t="shared" si="15"/>
        <v>0</v>
      </c>
      <c r="AK26" s="2">
        <f t="shared" si="15"/>
        <v>552831.68999999994</v>
      </c>
      <c r="AL26" s="2">
        <f t="shared" si="15"/>
        <v>78975.95</v>
      </c>
      <c r="AM26" s="2">
        <f t="shared" si="15"/>
        <v>0</v>
      </c>
      <c r="AN26" s="2">
        <f t="shared" si="15"/>
        <v>0</v>
      </c>
      <c r="AO26" s="2">
        <f t="shared" si="15"/>
        <v>0</v>
      </c>
      <c r="AP26" s="2">
        <f t="shared" si="15"/>
        <v>0</v>
      </c>
      <c r="AQ26" s="2">
        <f t="shared" si="15"/>
        <v>0</v>
      </c>
      <c r="AR26" s="2">
        <f t="shared" si="15"/>
        <v>5791290.6900000004</v>
      </c>
      <c r="AS26" s="2">
        <f t="shared" si="15"/>
        <v>0</v>
      </c>
      <c r="AT26" s="2">
        <f t="shared" si="15"/>
        <v>0</v>
      </c>
      <c r="AU26" s="2">
        <f t="shared" ref="AU26:BZ26" si="16">AU35</f>
        <v>5791290.6900000004</v>
      </c>
      <c r="AV26" s="2">
        <f t="shared" si="16"/>
        <v>162.63999999999999</v>
      </c>
      <c r="AW26" s="2">
        <f t="shared" si="16"/>
        <v>162.63999999999999</v>
      </c>
      <c r="AX26" s="2">
        <f t="shared" si="16"/>
        <v>0</v>
      </c>
      <c r="AY26" s="2">
        <f t="shared" si="16"/>
        <v>162.63999999999999</v>
      </c>
      <c r="AZ26" s="2">
        <f t="shared" si="16"/>
        <v>0</v>
      </c>
      <c r="BA26" s="2">
        <f t="shared" si="16"/>
        <v>0</v>
      </c>
      <c r="BB26" s="2">
        <f t="shared" si="16"/>
        <v>0</v>
      </c>
      <c r="BC26" s="2">
        <f t="shared" si="16"/>
        <v>0</v>
      </c>
      <c r="BD26" s="2">
        <f t="shared" si="16"/>
        <v>0</v>
      </c>
      <c r="BE26" s="2">
        <f t="shared" si="16"/>
        <v>0</v>
      </c>
      <c r="BF26" s="2">
        <f t="shared" si="16"/>
        <v>0</v>
      </c>
      <c r="BG26" s="2">
        <f t="shared" si="16"/>
        <v>0</v>
      </c>
      <c r="BH26" s="2">
        <f t="shared" si="16"/>
        <v>0</v>
      </c>
      <c r="BI26" s="2">
        <f t="shared" si="16"/>
        <v>0</v>
      </c>
      <c r="BJ26" s="2">
        <f t="shared" si="16"/>
        <v>0</v>
      </c>
      <c r="BK26" s="2">
        <f t="shared" si="16"/>
        <v>0</v>
      </c>
      <c r="BL26" s="2">
        <f t="shared" si="16"/>
        <v>0</v>
      </c>
      <c r="BM26" s="2">
        <f t="shared" si="16"/>
        <v>0</v>
      </c>
      <c r="BN26" s="2">
        <f t="shared" si="16"/>
        <v>0</v>
      </c>
      <c r="BO26" s="2">
        <f t="shared" si="16"/>
        <v>0</v>
      </c>
      <c r="BP26" s="2">
        <f t="shared" si="16"/>
        <v>0</v>
      </c>
      <c r="BQ26" s="2">
        <f t="shared" si="16"/>
        <v>0</v>
      </c>
      <c r="BR26" s="2">
        <f t="shared" si="16"/>
        <v>0</v>
      </c>
      <c r="BS26" s="2">
        <f t="shared" si="16"/>
        <v>0</v>
      </c>
      <c r="BT26" s="2">
        <f t="shared" si="16"/>
        <v>0</v>
      </c>
      <c r="BU26" s="2">
        <f t="shared" si="16"/>
        <v>0</v>
      </c>
      <c r="BV26" s="2">
        <f t="shared" si="16"/>
        <v>0</v>
      </c>
      <c r="BW26" s="2">
        <f t="shared" si="16"/>
        <v>0</v>
      </c>
      <c r="BX26" s="2">
        <f t="shared" si="16"/>
        <v>0</v>
      </c>
      <c r="BY26" s="2">
        <f t="shared" si="16"/>
        <v>0</v>
      </c>
      <c r="BZ26" s="2">
        <f t="shared" si="16"/>
        <v>0</v>
      </c>
      <c r="CA26" s="2">
        <f t="shared" ref="CA26:DF26" si="17">CA35</f>
        <v>5791290.6900000004</v>
      </c>
      <c r="CB26" s="2">
        <f t="shared" si="17"/>
        <v>0</v>
      </c>
      <c r="CC26" s="2">
        <f t="shared" si="17"/>
        <v>0</v>
      </c>
      <c r="CD26" s="2">
        <f t="shared" si="17"/>
        <v>5791290.6900000004</v>
      </c>
      <c r="CE26" s="2">
        <f t="shared" si="17"/>
        <v>162.63999999999999</v>
      </c>
      <c r="CF26" s="2">
        <f t="shared" si="17"/>
        <v>162.63999999999999</v>
      </c>
      <c r="CG26" s="2">
        <f t="shared" si="17"/>
        <v>0</v>
      </c>
      <c r="CH26" s="2">
        <f t="shared" si="17"/>
        <v>162.63999999999999</v>
      </c>
      <c r="CI26" s="2">
        <f t="shared" si="17"/>
        <v>0</v>
      </c>
      <c r="CJ26" s="2">
        <f t="shared" si="17"/>
        <v>0</v>
      </c>
      <c r="CK26" s="2">
        <f t="shared" si="17"/>
        <v>0</v>
      </c>
      <c r="CL26" s="2">
        <f t="shared" si="17"/>
        <v>0</v>
      </c>
      <c r="CM26" s="2">
        <f t="shared" si="17"/>
        <v>0</v>
      </c>
      <c r="CN26" s="2">
        <f t="shared" si="17"/>
        <v>0</v>
      </c>
      <c r="CO26" s="2">
        <f t="shared" si="17"/>
        <v>0</v>
      </c>
      <c r="CP26" s="2">
        <f t="shared" si="17"/>
        <v>0</v>
      </c>
      <c r="CQ26" s="2">
        <f t="shared" si="17"/>
        <v>0</v>
      </c>
      <c r="CR26" s="2">
        <f t="shared" si="17"/>
        <v>0</v>
      </c>
      <c r="CS26" s="2">
        <f t="shared" si="17"/>
        <v>0</v>
      </c>
      <c r="CT26" s="2">
        <f t="shared" si="17"/>
        <v>0</v>
      </c>
      <c r="CU26" s="2">
        <f t="shared" si="17"/>
        <v>0</v>
      </c>
      <c r="CV26" s="2">
        <f t="shared" si="17"/>
        <v>0</v>
      </c>
      <c r="CW26" s="2">
        <f t="shared" si="17"/>
        <v>0</v>
      </c>
      <c r="CX26" s="2">
        <f t="shared" si="17"/>
        <v>0</v>
      </c>
      <c r="CY26" s="2">
        <f t="shared" si="17"/>
        <v>0</v>
      </c>
      <c r="CZ26" s="2">
        <f t="shared" si="17"/>
        <v>0</v>
      </c>
      <c r="DA26" s="2">
        <f t="shared" si="17"/>
        <v>0</v>
      </c>
      <c r="DB26" s="2">
        <f t="shared" si="17"/>
        <v>0</v>
      </c>
      <c r="DC26" s="2">
        <f t="shared" si="17"/>
        <v>0</v>
      </c>
      <c r="DD26" s="2">
        <f t="shared" si="17"/>
        <v>0</v>
      </c>
      <c r="DE26" s="2">
        <f t="shared" si="17"/>
        <v>0</v>
      </c>
      <c r="DF26" s="2">
        <f t="shared" si="17"/>
        <v>0</v>
      </c>
      <c r="DG26" s="3">
        <f t="shared" ref="DG26:EL26" si="18">DG35</f>
        <v>0</v>
      </c>
      <c r="DH26" s="3">
        <f t="shared" si="18"/>
        <v>0</v>
      </c>
      <c r="DI26" s="3">
        <f t="shared" si="18"/>
        <v>0</v>
      </c>
      <c r="DJ26" s="3">
        <f t="shared" si="18"/>
        <v>0</v>
      </c>
      <c r="DK26" s="3">
        <f t="shared" si="18"/>
        <v>0</v>
      </c>
      <c r="DL26" s="3">
        <f t="shared" si="18"/>
        <v>0</v>
      </c>
      <c r="DM26" s="3">
        <f t="shared" si="18"/>
        <v>0</v>
      </c>
      <c r="DN26" s="3">
        <f t="shared" si="18"/>
        <v>0</v>
      </c>
      <c r="DO26" s="3">
        <f t="shared" si="18"/>
        <v>0</v>
      </c>
      <c r="DP26" s="3">
        <f t="shared" si="18"/>
        <v>0</v>
      </c>
      <c r="DQ26" s="3">
        <f t="shared" si="18"/>
        <v>0</v>
      </c>
      <c r="DR26" s="3">
        <f t="shared" si="18"/>
        <v>0</v>
      </c>
      <c r="DS26" s="3">
        <f t="shared" si="18"/>
        <v>0</v>
      </c>
      <c r="DT26" s="3">
        <f t="shared" si="18"/>
        <v>0</v>
      </c>
      <c r="DU26" s="3">
        <f t="shared" si="18"/>
        <v>0</v>
      </c>
      <c r="DV26" s="3">
        <f t="shared" si="18"/>
        <v>0</v>
      </c>
      <c r="DW26" s="3">
        <f t="shared" si="18"/>
        <v>0</v>
      </c>
      <c r="DX26" s="3">
        <f t="shared" si="18"/>
        <v>0</v>
      </c>
      <c r="DY26" s="3">
        <f t="shared" si="18"/>
        <v>0</v>
      </c>
      <c r="DZ26" s="3">
        <f t="shared" si="18"/>
        <v>0</v>
      </c>
      <c r="EA26" s="3">
        <f t="shared" si="18"/>
        <v>0</v>
      </c>
      <c r="EB26" s="3">
        <f t="shared" si="18"/>
        <v>0</v>
      </c>
      <c r="EC26" s="3">
        <f t="shared" si="18"/>
        <v>0</v>
      </c>
      <c r="ED26" s="3">
        <f t="shared" si="18"/>
        <v>0</v>
      </c>
      <c r="EE26" s="3">
        <f t="shared" si="18"/>
        <v>0</v>
      </c>
      <c r="EF26" s="3">
        <f t="shared" si="18"/>
        <v>0</v>
      </c>
      <c r="EG26" s="3">
        <f t="shared" si="18"/>
        <v>0</v>
      </c>
      <c r="EH26" s="3">
        <f t="shared" si="18"/>
        <v>0</v>
      </c>
      <c r="EI26" s="3">
        <f t="shared" si="18"/>
        <v>0</v>
      </c>
      <c r="EJ26" s="3">
        <f t="shared" si="18"/>
        <v>0</v>
      </c>
      <c r="EK26" s="3">
        <f t="shared" si="18"/>
        <v>0</v>
      </c>
      <c r="EL26" s="3">
        <f t="shared" si="18"/>
        <v>0</v>
      </c>
      <c r="EM26" s="3">
        <f t="shared" ref="EM26:FR26" si="19">EM35</f>
        <v>0</v>
      </c>
      <c r="EN26" s="3">
        <f t="shared" si="19"/>
        <v>0</v>
      </c>
      <c r="EO26" s="3">
        <f t="shared" si="19"/>
        <v>0</v>
      </c>
      <c r="EP26" s="3">
        <f t="shared" si="19"/>
        <v>0</v>
      </c>
      <c r="EQ26" s="3">
        <f t="shared" si="19"/>
        <v>0</v>
      </c>
      <c r="ER26" s="3">
        <f t="shared" si="19"/>
        <v>0</v>
      </c>
      <c r="ES26" s="3">
        <f t="shared" si="19"/>
        <v>0</v>
      </c>
      <c r="ET26" s="3">
        <f t="shared" si="19"/>
        <v>0</v>
      </c>
      <c r="EU26" s="3">
        <f t="shared" si="19"/>
        <v>0</v>
      </c>
      <c r="EV26" s="3">
        <f t="shared" si="19"/>
        <v>0</v>
      </c>
      <c r="EW26" s="3">
        <f t="shared" si="19"/>
        <v>0</v>
      </c>
      <c r="EX26" s="3">
        <f t="shared" si="19"/>
        <v>0</v>
      </c>
      <c r="EY26" s="3">
        <f t="shared" si="19"/>
        <v>0</v>
      </c>
      <c r="EZ26" s="3">
        <f t="shared" si="19"/>
        <v>0</v>
      </c>
      <c r="FA26" s="3">
        <f t="shared" si="19"/>
        <v>0</v>
      </c>
      <c r="FB26" s="3">
        <f t="shared" si="19"/>
        <v>0</v>
      </c>
      <c r="FC26" s="3">
        <f t="shared" si="19"/>
        <v>0</v>
      </c>
      <c r="FD26" s="3">
        <f t="shared" si="19"/>
        <v>0</v>
      </c>
      <c r="FE26" s="3">
        <f t="shared" si="19"/>
        <v>0</v>
      </c>
      <c r="FF26" s="3">
        <f t="shared" si="19"/>
        <v>0</v>
      </c>
      <c r="FG26" s="3">
        <f t="shared" si="19"/>
        <v>0</v>
      </c>
      <c r="FH26" s="3">
        <f t="shared" si="19"/>
        <v>0</v>
      </c>
      <c r="FI26" s="3">
        <f t="shared" si="19"/>
        <v>0</v>
      </c>
      <c r="FJ26" s="3">
        <f t="shared" si="19"/>
        <v>0</v>
      </c>
      <c r="FK26" s="3">
        <f t="shared" si="19"/>
        <v>0</v>
      </c>
      <c r="FL26" s="3">
        <f t="shared" si="19"/>
        <v>0</v>
      </c>
      <c r="FM26" s="3">
        <f t="shared" si="19"/>
        <v>0</v>
      </c>
      <c r="FN26" s="3">
        <f t="shared" si="19"/>
        <v>0</v>
      </c>
      <c r="FO26" s="3">
        <f t="shared" si="19"/>
        <v>0</v>
      </c>
      <c r="FP26" s="3">
        <f t="shared" si="19"/>
        <v>0</v>
      </c>
      <c r="FQ26" s="3">
        <f t="shared" si="19"/>
        <v>0</v>
      </c>
      <c r="FR26" s="3">
        <f t="shared" si="19"/>
        <v>0</v>
      </c>
      <c r="FS26" s="3">
        <f t="shared" ref="FS26:GX26" si="20">FS35</f>
        <v>0</v>
      </c>
      <c r="FT26" s="3">
        <f t="shared" si="20"/>
        <v>0</v>
      </c>
      <c r="FU26" s="3">
        <f t="shared" si="20"/>
        <v>0</v>
      </c>
      <c r="FV26" s="3">
        <f t="shared" si="20"/>
        <v>0</v>
      </c>
      <c r="FW26" s="3">
        <f t="shared" si="20"/>
        <v>0</v>
      </c>
      <c r="FX26" s="3">
        <f t="shared" si="20"/>
        <v>0</v>
      </c>
      <c r="FY26" s="3">
        <f t="shared" si="20"/>
        <v>0</v>
      </c>
      <c r="FZ26" s="3">
        <f t="shared" si="20"/>
        <v>0</v>
      </c>
      <c r="GA26" s="3">
        <f t="shared" si="20"/>
        <v>0</v>
      </c>
      <c r="GB26" s="3">
        <f t="shared" si="20"/>
        <v>0</v>
      </c>
      <c r="GC26" s="3">
        <f t="shared" si="20"/>
        <v>0</v>
      </c>
      <c r="GD26" s="3">
        <f t="shared" si="20"/>
        <v>0</v>
      </c>
      <c r="GE26" s="3">
        <f t="shared" si="20"/>
        <v>0</v>
      </c>
      <c r="GF26" s="3">
        <f t="shared" si="20"/>
        <v>0</v>
      </c>
      <c r="GG26" s="3">
        <f t="shared" si="20"/>
        <v>0</v>
      </c>
      <c r="GH26" s="3">
        <f t="shared" si="20"/>
        <v>0</v>
      </c>
      <c r="GI26" s="3">
        <f t="shared" si="20"/>
        <v>0</v>
      </c>
      <c r="GJ26" s="3">
        <f t="shared" si="20"/>
        <v>0</v>
      </c>
      <c r="GK26" s="3">
        <f t="shared" si="20"/>
        <v>0</v>
      </c>
      <c r="GL26" s="3">
        <f t="shared" si="20"/>
        <v>0</v>
      </c>
      <c r="GM26" s="3">
        <f t="shared" si="20"/>
        <v>0</v>
      </c>
      <c r="GN26" s="3">
        <f t="shared" si="20"/>
        <v>0</v>
      </c>
      <c r="GO26" s="3">
        <f t="shared" si="20"/>
        <v>0</v>
      </c>
      <c r="GP26" s="3">
        <f t="shared" si="20"/>
        <v>0</v>
      </c>
      <c r="GQ26" s="3">
        <f t="shared" si="20"/>
        <v>0</v>
      </c>
      <c r="GR26" s="3">
        <f t="shared" si="20"/>
        <v>0</v>
      </c>
      <c r="GS26" s="3">
        <f t="shared" si="20"/>
        <v>0</v>
      </c>
      <c r="GT26" s="3">
        <f t="shared" si="20"/>
        <v>0</v>
      </c>
      <c r="GU26" s="3">
        <f t="shared" si="20"/>
        <v>0</v>
      </c>
      <c r="GV26" s="3">
        <f t="shared" si="20"/>
        <v>0</v>
      </c>
      <c r="GW26" s="3">
        <f t="shared" si="20"/>
        <v>0</v>
      </c>
      <c r="GX26" s="3">
        <f t="shared" si="20"/>
        <v>0</v>
      </c>
    </row>
    <row r="28" spans="1:245" x14ac:dyDescent="0.2">
      <c r="A28">
        <v>17</v>
      </c>
      <c r="B28">
        <v>1</v>
      </c>
      <c r="C28">
        <f>ROW(SmtRes!A1)</f>
        <v>1</v>
      </c>
      <c r="D28">
        <f>ROW(EtalonRes!A1)</f>
        <v>1</v>
      </c>
      <c r="E28" t="s">
        <v>14</v>
      </c>
      <c r="F28" t="s">
        <v>15</v>
      </c>
      <c r="G28" t="s">
        <v>16</v>
      </c>
      <c r="H28" t="s">
        <v>17</v>
      </c>
      <c r="I28">
        <v>19</v>
      </c>
      <c r="J28">
        <v>0</v>
      </c>
      <c r="O28">
        <f t="shared" ref="O28:O33" si="21">ROUND(CP28,2)</f>
        <v>3249</v>
      </c>
      <c r="P28">
        <f t="shared" ref="P28:P33" si="22">ROUND(CQ28*I28,2)</f>
        <v>0</v>
      </c>
      <c r="Q28">
        <f t="shared" ref="Q28:Q33" si="23">ROUND(CR28*I28,2)</f>
        <v>0</v>
      </c>
      <c r="R28">
        <f t="shared" ref="R28:R33" si="24">ROUND(CS28*I28,2)</f>
        <v>0</v>
      </c>
      <c r="S28">
        <f t="shared" ref="S28:S33" si="25">ROUND(CT28*I28,2)</f>
        <v>3249</v>
      </c>
      <c r="T28">
        <f t="shared" ref="T28:T33" si="26">ROUND(CU28*I28,2)</f>
        <v>0</v>
      </c>
      <c r="U28">
        <f t="shared" ref="U28:U33" si="27">CV28*I28</f>
        <v>7.6000000000000005</v>
      </c>
      <c r="V28">
        <f t="shared" ref="V28:V33" si="28">CW28*I28</f>
        <v>0</v>
      </c>
      <c r="W28">
        <f t="shared" ref="W28:W33" si="29">ROUND(CX28*I28,2)</f>
        <v>0</v>
      </c>
      <c r="X28">
        <f t="shared" ref="X28:Y33" si="30">ROUND(CY28,2)</f>
        <v>2274.3000000000002</v>
      </c>
      <c r="Y28">
        <f t="shared" si="30"/>
        <v>324.89999999999998</v>
      </c>
      <c r="AA28">
        <v>33299672</v>
      </c>
      <c r="AB28">
        <f t="shared" ref="AB28:AB33" si="31">ROUND((AC28+AD28+AF28),6)</f>
        <v>171</v>
      </c>
      <c r="AC28">
        <f>ROUND(((ES28*2)),6)</f>
        <v>0</v>
      </c>
      <c r="AD28">
        <f>ROUND(((((ET28*2))-((EU28*2)))+AE28),6)</f>
        <v>0</v>
      </c>
      <c r="AE28">
        <f t="shared" ref="AE28:AE31" si="32">ROUND(((EU28*2)),6)</f>
        <v>0</v>
      </c>
      <c r="AF28">
        <f>ROUND(((EV28*4)),6)</f>
        <v>171</v>
      </c>
      <c r="AG28">
        <f t="shared" ref="AG28:AG33" si="33">ROUND((AP28),6)</f>
        <v>0</v>
      </c>
      <c r="AH28">
        <f t="shared" ref="AH28:AI31" si="34">((EW28*2))</f>
        <v>0.4</v>
      </c>
      <c r="AI28">
        <f t="shared" si="34"/>
        <v>0</v>
      </c>
      <c r="AJ28">
        <f t="shared" ref="AJ28:AJ33" si="35">ROUND((AS28),6)</f>
        <v>0</v>
      </c>
      <c r="AK28">
        <v>42.75</v>
      </c>
      <c r="AL28">
        <v>0</v>
      </c>
      <c r="AM28">
        <v>0</v>
      </c>
      <c r="AN28">
        <v>0</v>
      </c>
      <c r="AO28">
        <v>42.75</v>
      </c>
      <c r="AP28">
        <v>0</v>
      </c>
      <c r="AQ28">
        <v>0.2</v>
      </c>
      <c r="AR28">
        <v>0</v>
      </c>
      <c r="AS28">
        <v>0</v>
      </c>
      <c r="AT28">
        <v>70</v>
      </c>
      <c r="AU28">
        <v>10</v>
      </c>
      <c r="AV28">
        <v>1</v>
      </c>
      <c r="AW28">
        <v>1</v>
      </c>
      <c r="AZ28">
        <v>1</v>
      </c>
      <c r="BA28">
        <v>1</v>
      </c>
      <c r="BB28">
        <v>1</v>
      </c>
      <c r="BC28">
        <v>1</v>
      </c>
      <c r="BD28" t="s">
        <v>3</v>
      </c>
      <c r="BE28" t="s">
        <v>3</v>
      </c>
      <c r="BF28" t="s">
        <v>3</v>
      </c>
      <c r="BG28" t="s">
        <v>3</v>
      </c>
      <c r="BH28">
        <v>0</v>
      </c>
      <c r="BI28">
        <v>4</v>
      </c>
      <c r="BJ28" t="s">
        <v>18</v>
      </c>
      <c r="BM28">
        <v>0</v>
      </c>
      <c r="BN28">
        <v>0</v>
      </c>
      <c r="BO28" t="s">
        <v>3</v>
      </c>
      <c r="BP28">
        <v>0</v>
      </c>
      <c r="BQ28">
        <v>1</v>
      </c>
      <c r="BR28">
        <v>0</v>
      </c>
      <c r="BS28">
        <v>1</v>
      </c>
      <c r="BT28">
        <v>1</v>
      </c>
      <c r="BU28">
        <v>1</v>
      </c>
      <c r="BV28">
        <v>1</v>
      </c>
      <c r="BW28">
        <v>1</v>
      </c>
      <c r="BX28">
        <v>1</v>
      </c>
      <c r="BY28" t="s">
        <v>3</v>
      </c>
      <c r="BZ28">
        <v>70</v>
      </c>
      <c r="CA28">
        <v>10</v>
      </c>
      <c r="CF28">
        <v>0</v>
      </c>
      <c r="CG28">
        <v>0</v>
      </c>
      <c r="CM28">
        <v>0</v>
      </c>
      <c r="CN28" t="s">
        <v>3</v>
      </c>
      <c r="CO28">
        <v>0</v>
      </c>
      <c r="CP28">
        <f t="shared" ref="CP28:CP33" si="36">(P28+Q28+S28)</f>
        <v>3249</v>
      </c>
      <c r="CQ28">
        <f t="shared" ref="CQ28:CQ33" si="37">(AC28*BC28*AW28)</f>
        <v>0</v>
      </c>
      <c r="CR28">
        <f>(((((ET28*2))*BB28-((EU28*2))*BS28)+AE28*BS28)*AV28)</f>
        <v>0</v>
      </c>
      <c r="CS28">
        <f t="shared" ref="CS28:CS33" si="38">(AE28*BS28*AV28)</f>
        <v>0</v>
      </c>
      <c r="CT28">
        <f t="shared" ref="CT28:CT33" si="39">(AF28*BA28*AV28)</f>
        <v>171</v>
      </c>
      <c r="CU28">
        <f t="shared" ref="CU28:CU33" si="40">AG28</f>
        <v>0</v>
      </c>
      <c r="CV28">
        <f t="shared" ref="CV28:CV33" si="41">(AH28*AV28)</f>
        <v>0.4</v>
      </c>
      <c r="CW28">
        <f t="shared" ref="CW28:CX33" si="42">AI28</f>
        <v>0</v>
      </c>
      <c r="CX28">
        <f t="shared" si="42"/>
        <v>0</v>
      </c>
      <c r="CY28">
        <f t="shared" ref="CY28:CY33" si="43">((S28*BZ28)/100)</f>
        <v>2274.3000000000002</v>
      </c>
      <c r="CZ28">
        <f t="shared" ref="CZ28:CZ33" si="44">((S28*CA28)/100)</f>
        <v>324.89999999999998</v>
      </c>
      <c r="DC28" t="s">
        <v>3</v>
      </c>
      <c r="DD28" t="s">
        <v>115</v>
      </c>
      <c r="DE28" t="s">
        <v>115</v>
      </c>
      <c r="DF28" t="s">
        <v>115</v>
      </c>
      <c r="DG28" t="s">
        <v>115</v>
      </c>
      <c r="DH28" t="s">
        <v>3</v>
      </c>
      <c r="DI28" t="s">
        <v>115</v>
      </c>
      <c r="DJ28" t="s">
        <v>115</v>
      </c>
      <c r="DK28" t="s">
        <v>3</v>
      </c>
      <c r="DL28" t="s">
        <v>3</v>
      </c>
      <c r="DM28" t="s">
        <v>3</v>
      </c>
      <c r="DN28">
        <v>0</v>
      </c>
      <c r="DO28">
        <v>0</v>
      </c>
      <c r="DP28">
        <v>1</v>
      </c>
      <c r="DQ28">
        <v>1</v>
      </c>
      <c r="DU28">
        <v>1010</v>
      </c>
      <c r="DV28" t="s">
        <v>17</v>
      </c>
      <c r="DW28" t="s">
        <v>17</v>
      </c>
      <c r="DX28">
        <v>1</v>
      </c>
      <c r="EE28">
        <v>32893472</v>
      </c>
      <c r="EF28">
        <v>1</v>
      </c>
      <c r="EG28" t="s">
        <v>20</v>
      </c>
      <c r="EH28">
        <v>0</v>
      </c>
      <c r="EI28" t="s">
        <v>3</v>
      </c>
      <c r="EJ28">
        <v>4</v>
      </c>
      <c r="EK28">
        <v>0</v>
      </c>
      <c r="EL28" t="s">
        <v>21</v>
      </c>
      <c r="EM28" t="s">
        <v>22</v>
      </c>
      <c r="EO28" t="s">
        <v>3</v>
      </c>
      <c r="EQ28">
        <v>0</v>
      </c>
      <c r="ER28">
        <v>42.75</v>
      </c>
      <c r="ES28">
        <v>0</v>
      </c>
      <c r="ET28">
        <v>0</v>
      </c>
      <c r="EU28">
        <v>0</v>
      </c>
      <c r="EV28">
        <v>42.75</v>
      </c>
      <c r="EW28">
        <v>0.2</v>
      </c>
      <c r="EX28">
        <v>0</v>
      </c>
      <c r="EY28">
        <v>0</v>
      </c>
      <c r="FQ28">
        <v>0</v>
      </c>
      <c r="FR28">
        <f t="shared" ref="FR28:FR33" si="45">ROUND(IF(AND(BH28=3,BI28=3),P28,0),2)</f>
        <v>0</v>
      </c>
      <c r="FS28">
        <v>0</v>
      </c>
      <c r="FX28">
        <v>70</v>
      </c>
      <c r="FY28">
        <v>10</v>
      </c>
      <c r="GA28" t="s">
        <v>3</v>
      </c>
      <c r="GD28">
        <v>0</v>
      </c>
      <c r="GF28">
        <v>-1713908371</v>
      </c>
      <c r="GG28">
        <v>2</v>
      </c>
      <c r="GH28">
        <v>1</v>
      </c>
      <c r="GI28">
        <v>-2</v>
      </c>
      <c r="GJ28">
        <v>0</v>
      </c>
      <c r="GK28">
        <f>ROUND(R28*(R12)/100,2)</f>
        <v>0</v>
      </c>
      <c r="GL28">
        <f t="shared" ref="GL28:GL33" si="46">ROUND(IF(AND(BH28=3,BI28=3,FS28&lt;&gt;0),P28,0),2)</f>
        <v>0</v>
      </c>
      <c r="GM28">
        <f t="shared" ref="GM28:GM33" si="47">ROUND(O28+X28+Y28+GK28,2)+GX28</f>
        <v>5848.2</v>
      </c>
      <c r="GN28">
        <f t="shared" ref="GN28:GN33" si="48">IF(OR(BI28=0,BI28=1),ROUND(O28+X28+Y28+GK28,2),0)</f>
        <v>0</v>
      </c>
      <c r="GO28">
        <f t="shared" ref="GO28:GO33" si="49">IF(BI28=2,ROUND(O28+X28+Y28+GK28,2),0)</f>
        <v>0</v>
      </c>
      <c r="GP28">
        <f t="shared" ref="GP28:GP33" si="50">IF(BI28=4,ROUND(O28+X28+Y28+GK28,2)+GX28,0)</f>
        <v>5848.2</v>
      </c>
      <c r="GR28">
        <v>0</v>
      </c>
      <c r="GS28">
        <v>3</v>
      </c>
      <c r="GT28">
        <v>0</v>
      </c>
      <c r="GU28" t="s">
        <v>3</v>
      </c>
      <c r="GV28">
        <f>ROUND(GT28,6)</f>
        <v>0</v>
      </c>
      <c r="GW28">
        <v>1</v>
      </c>
      <c r="GX28">
        <f t="shared" ref="GX28:GX33" si="51">ROUND(GV28*GW28*I28,2)</f>
        <v>0</v>
      </c>
      <c r="HA28">
        <v>0</v>
      </c>
      <c r="HB28">
        <v>0</v>
      </c>
      <c r="IK28">
        <v>0</v>
      </c>
    </row>
    <row r="29" spans="1:245" x14ac:dyDescent="0.2">
      <c r="A29">
        <v>17</v>
      </c>
      <c r="B29">
        <v>1</v>
      </c>
      <c r="C29">
        <f>ROW(SmtRes!A2)</f>
        <v>2</v>
      </c>
      <c r="D29">
        <f>ROW(EtalonRes!A2)</f>
        <v>2</v>
      </c>
      <c r="E29" t="s">
        <v>23</v>
      </c>
      <c r="F29" t="s">
        <v>24</v>
      </c>
      <c r="G29" t="s">
        <v>25</v>
      </c>
      <c r="H29" t="s">
        <v>26</v>
      </c>
      <c r="I29">
        <f>ROUND(42.891,9)</f>
        <v>42.890999999999998</v>
      </c>
      <c r="J29">
        <v>0</v>
      </c>
      <c r="O29">
        <f t="shared" si="21"/>
        <v>14622.4</v>
      </c>
      <c r="P29">
        <f t="shared" si="22"/>
        <v>0</v>
      </c>
      <c r="Q29">
        <f t="shared" si="23"/>
        <v>0</v>
      </c>
      <c r="R29">
        <f t="shared" si="24"/>
        <v>0</v>
      </c>
      <c r="S29">
        <f t="shared" si="25"/>
        <v>14622.4</v>
      </c>
      <c r="T29">
        <f t="shared" si="26"/>
        <v>0</v>
      </c>
      <c r="U29">
        <f t="shared" si="27"/>
        <v>39.459719999999997</v>
      </c>
      <c r="V29">
        <f t="shared" si="28"/>
        <v>0</v>
      </c>
      <c r="W29">
        <f t="shared" si="29"/>
        <v>0</v>
      </c>
      <c r="X29">
        <f t="shared" si="30"/>
        <v>10235.68</v>
      </c>
      <c r="Y29">
        <f t="shared" si="30"/>
        <v>1462.24</v>
      </c>
      <c r="AA29">
        <v>33299672</v>
      </c>
      <c r="AB29">
        <f t="shared" si="31"/>
        <v>340.92</v>
      </c>
      <c r="AC29">
        <f>ROUND(((ES29*2)),6)</f>
        <v>0</v>
      </c>
      <c r="AD29">
        <f>ROUND(((((ET29*2))-((EU29*2)))+AE29),6)</f>
        <v>0</v>
      </c>
      <c r="AE29">
        <f t="shared" si="32"/>
        <v>0</v>
      </c>
      <c r="AF29">
        <f>ROUND(((EV29*4)),6)</f>
        <v>340.92</v>
      </c>
      <c r="AG29">
        <f t="shared" si="33"/>
        <v>0</v>
      </c>
      <c r="AH29">
        <f t="shared" si="34"/>
        <v>0.92</v>
      </c>
      <c r="AI29">
        <f t="shared" si="34"/>
        <v>0</v>
      </c>
      <c r="AJ29">
        <f t="shared" si="35"/>
        <v>0</v>
      </c>
      <c r="AK29">
        <v>85.23</v>
      </c>
      <c r="AL29">
        <v>0</v>
      </c>
      <c r="AM29">
        <v>0</v>
      </c>
      <c r="AN29">
        <v>0</v>
      </c>
      <c r="AO29">
        <v>85.23</v>
      </c>
      <c r="AP29">
        <v>0</v>
      </c>
      <c r="AQ29">
        <v>0.46</v>
      </c>
      <c r="AR29">
        <v>0</v>
      </c>
      <c r="AS29">
        <v>0</v>
      </c>
      <c r="AT29">
        <v>70</v>
      </c>
      <c r="AU29">
        <v>10</v>
      </c>
      <c r="AV29">
        <v>1</v>
      </c>
      <c r="AW29">
        <v>1</v>
      </c>
      <c r="AZ29">
        <v>1</v>
      </c>
      <c r="BA29">
        <v>1</v>
      </c>
      <c r="BB29">
        <v>1</v>
      </c>
      <c r="BC29">
        <v>1</v>
      </c>
      <c r="BD29" t="s">
        <v>3</v>
      </c>
      <c r="BE29" t="s">
        <v>3</v>
      </c>
      <c r="BF29" t="s">
        <v>3</v>
      </c>
      <c r="BG29" t="s">
        <v>3</v>
      </c>
      <c r="BH29">
        <v>0</v>
      </c>
      <c r="BI29">
        <v>4</v>
      </c>
      <c r="BJ29" t="s">
        <v>27</v>
      </c>
      <c r="BM29">
        <v>0</v>
      </c>
      <c r="BN29">
        <v>0</v>
      </c>
      <c r="BO29" t="s">
        <v>3</v>
      </c>
      <c r="BP29">
        <v>0</v>
      </c>
      <c r="BQ29">
        <v>1</v>
      </c>
      <c r="BR29">
        <v>0</v>
      </c>
      <c r="BS29">
        <v>1</v>
      </c>
      <c r="BT29">
        <v>1</v>
      </c>
      <c r="BU29">
        <v>1</v>
      </c>
      <c r="BV29">
        <v>1</v>
      </c>
      <c r="BW29">
        <v>1</v>
      </c>
      <c r="BX29">
        <v>1</v>
      </c>
      <c r="BY29" t="s">
        <v>3</v>
      </c>
      <c r="BZ29">
        <v>70</v>
      </c>
      <c r="CA29">
        <v>10</v>
      </c>
      <c r="CF29">
        <v>0</v>
      </c>
      <c r="CG29">
        <v>0</v>
      </c>
      <c r="CM29">
        <v>0</v>
      </c>
      <c r="CN29" t="s">
        <v>3</v>
      </c>
      <c r="CO29">
        <v>0</v>
      </c>
      <c r="CP29">
        <f t="shared" si="36"/>
        <v>14622.4</v>
      </c>
      <c r="CQ29">
        <f t="shared" si="37"/>
        <v>0</v>
      </c>
      <c r="CR29">
        <f>(((((ET29*2))*BB29-((EU29*2))*BS29)+AE29*BS29)*AV29)</f>
        <v>0</v>
      </c>
      <c r="CS29">
        <f t="shared" si="38"/>
        <v>0</v>
      </c>
      <c r="CT29">
        <f t="shared" si="39"/>
        <v>340.92</v>
      </c>
      <c r="CU29">
        <f t="shared" si="40"/>
        <v>0</v>
      </c>
      <c r="CV29">
        <f t="shared" si="41"/>
        <v>0.92</v>
      </c>
      <c r="CW29">
        <f t="shared" si="42"/>
        <v>0</v>
      </c>
      <c r="CX29">
        <f t="shared" si="42"/>
        <v>0</v>
      </c>
      <c r="CY29">
        <f t="shared" si="43"/>
        <v>10235.68</v>
      </c>
      <c r="CZ29">
        <f t="shared" si="44"/>
        <v>1462.24</v>
      </c>
      <c r="DC29" t="s">
        <v>3</v>
      </c>
      <c r="DD29" t="s">
        <v>115</v>
      </c>
      <c r="DE29" t="s">
        <v>115</v>
      </c>
      <c r="DF29" t="s">
        <v>115</v>
      </c>
      <c r="DG29" t="s">
        <v>115</v>
      </c>
      <c r="DH29" t="s">
        <v>3</v>
      </c>
      <c r="DI29" t="s">
        <v>115</v>
      </c>
      <c r="DJ29" t="s">
        <v>115</v>
      </c>
      <c r="DK29" t="s">
        <v>3</v>
      </c>
      <c r="DL29" t="s">
        <v>3</v>
      </c>
      <c r="DM29" t="s">
        <v>3</v>
      </c>
      <c r="DN29">
        <v>0</v>
      </c>
      <c r="DO29">
        <v>0</v>
      </c>
      <c r="DP29">
        <v>1</v>
      </c>
      <c r="DQ29">
        <v>1</v>
      </c>
      <c r="DU29">
        <v>1003</v>
      </c>
      <c r="DV29" t="s">
        <v>26</v>
      </c>
      <c r="DW29" t="s">
        <v>26</v>
      </c>
      <c r="DX29">
        <v>1000</v>
      </c>
      <c r="EE29">
        <v>32893472</v>
      </c>
      <c r="EF29">
        <v>1</v>
      </c>
      <c r="EG29" t="s">
        <v>20</v>
      </c>
      <c r="EH29">
        <v>0</v>
      </c>
      <c r="EI29" t="s">
        <v>3</v>
      </c>
      <c r="EJ29">
        <v>4</v>
      </c>
      <c r="EK29">
        <v>0</v>
      </c>
      <c r="EL29" t="s">
        <v>21</v>
      </c>
      <c r="EM29" t="s">
        <v>22</v>
      </c>
      <c r="EO29" t="s">
        <v>3</v>
      </c>
      <c r="EQ29">
        <v>0</v>
      </c>
      <c r="ER29">
        <v>85.23</v>
      </c>
      <c r="ES29">
        <v>0</v>
      </c>
      <c r="ET29">
        <v>0</v>
      </c>
      <c r="EU29">
        <v>0</v>
      </c>
      <c r="EV29">
        <v>85.23</v>
      </c>
      <c r="EW29">
        <v>0.46</v>
      </c>
      <c r="EX29">
        <v>0</v>
      </c>
      <c r="EY29">
        <v>0</v>
      </c>
      <c r="FQ29">
        <v>0</v>
      </c>
      <c r="FR29">
        <f t="shared" si="45"/>
        <v>0</v>
      </c>
      <c r="FS29">
        <v>0</v>
      </c>
      <c r="FX29">
        <v>70</v>
      </c>
      <c r="FY29">
        <v>10</v>
      </c>
      <c r="GA29" t="s">
        <v>3</v>
      </c>
      <c r="GD29">
        <v>0</v>
      </c>
      <c r="GF29">
        <v>-1041083540</v>
      </c>
      <c r="GG29">
        <v>2</v>
      </c>
      <c r="GH29">
        <v>1</v>
      </c>
      <c r="GI29">
        <v>-2</v>
      </c>
      <c r="GJ29">
        <v>0</v>
      </c>
      <c r="GK29">
        <f>ROUND(R29*(R12)/100,2)</f>
        <v>0</v>
      </c>
      <c r="GL29">
        <f t="shared" si="46"/>
        <v>0</v>
      </c>
      <c r="GM29">
        <f t="shared" si="47"/>
        <v>26320.32</v>
      </c>
      <c r="GN29">
        <f t="shared" si="48"/>
        <v>0</v>
      </c>
      <c r="GO29">
        <f t="shared" si="49"/>
        <v>0</v>
      </c>
      <c r="GP29">
        <f t="shared" si="50"/>
        <v>26320.32</v>
      </c>
      <c r="GR29">
        <v>0</v>
      </c>
      <c r="GS29">
        <v>3</v>
      </c>
      <c r="GT29">
        <v>0</v>
      </c>
      <c r="GU29" t="s">
        <v>3</v>
      </c>
      <c r="GV29">
        <f>ROUND(GT29,6)</f>
        <v>0</v>
      </c>
      <c r="GW29">
        <v>1</v>
      </c>
      <c r="GX29">
        <f t="shared" si="51"/>
        <v>0</v>
      </c>
      <c r="HA29">
        <v>0</v>
      </c>
      <c r="HB29">
        <v>0</v>
      </c>
      <c r="IK29">
        <v>0</v>
      </c>
    </row>
    <row r="30" spans="1:245" x14ac:dyDescent="0.2">
      <c r="A30">
        <v>17</v>
      </c>
      <c r="B30">
        <v>1</v>
      </c>
      <c r="C30">
        <f>ROW(SmtRes!A5)</f>
        <v>5</v>
      </c>
      <c r="D30">
        <f>ROW(EtalonRes!A5)</f>
        <v>5</v>
      </c>
      <c r="E30" t="s">
        <v>28</v>
      </c>
      <c r="F30" t="s">
        <v>29</v>
      </c>
      <c r="G30" t="s">
        <v>30</v>
      </c>
      <c r="H30" t="s">
        <v>31</v>
      </c>
      <c r="I30">
        <f>ROUND(1402/10,9)</f>
        <v>140.19999999999999</v>
      </c>
      <c r="J30">
        <v>0</v>
      </c>
      <c r="O30">
        <f t="shared" si="21"/>
        <v>3681825.86</v>
      </c>
      <c r="P30">
        <f>ROUND(CQ30*I30,2)+0.01</f>
        <v>162.63999999999999</v>
      </c>
      <c r="Q30">
        <f>ROUND(CR30*I30,2)</f>
        <v>2936135.7</v>
      </c>
      <c r="R30">
        <f>ROUND(CS30*I30,2)+0.01</f>
        <v>1241128.92</v>
      </c>
      <c r="S30">
        <f t="shared" si="25"/>
        <v>745527.52</v>
      </c>
      <c r="T30">
        <f t="shared" si="26"/>
        <v>0</v>
      </c>
      <c r="U30">
        <f t="shared" si="27"/>
        <v>3488.1759999999995</v>
      </c>
      <c r="V30">
        <f t="shared" si="28"/>
        <v>0</v>
      </c>
      <c r="W30">
        <f t="shared" si="29"/>
        <v>0</v>
      </c>
      <c r="X30">
        <f t="shared" si="30"/>
        <v>521869.26</v>
      </c>
      <c r="Y30">
        <f t="shared" si="30"/>
        <v>74552.75</v>
      </c>
      <c r="AA30">
        <v>33299672</v>
      </c>
      <c r="AB30">
        <f t="shared" si="31"/>
        <v>26261.24</v>
      </c>
      <c r="AC30">
        <f>ROUND(((ES30*4)),6)</f>
        <v>1.1599999999999999</v>
      </c>
      <c r="AD30">
        <f>ROUND(((((ET30*4))-((EU30*4)))+AE30),6)</f>
        <v>20942.48</v>
      </c>
      <c r="AE30">
        <f>ROUND(((EU30*4)),6)</f>
        <v>8852.56</v>
      </c>
      <c r="AF30">
        <f>ROUND(((EV30*4)),6)</f>
        <v>5317.6</v>
      </c>
      <c r="AG30">
        <f t="shared" si="33"/>
        <v>0</v>
      </c>
      <c r="AH30">
        <f>((EW30*4))</f>
        <v>24.88</v>
      </c>
      <c r="AI30">
        <f t="shared" si="34"/>
        <v>0</v>
      </c>
      <c r="AJ30">
        <f t="shared" si="35"/>
        <v>0</v>
      </c>
      <c r="AK30">
        <v>6565.31</v>
      </c>
      <c r="AL30">
        <v>0.28999999999999998</v>
      </c>
      <c r="AM30">
        <v>5235.62</v>
      </c>
      <c r="AN30">
        <v>2213.14</v>
      </c>
      <c r="AO30">
        <v>1329.4</v>
      </c>
      <c r="AP30">
        <v>0</v>
      </c>
      <c r="AQ30">
        <v>6.22</v>
      </c>
      <c r="AR30">
        <v>0</v>
      </c>
      <c r="AS30">
        <v>0</v>
      </c>
      <c r="AT30">
        <v>70</v>
      </c>
      <c r="AU30">
        <v>10</v>
      </c>
      <c r="AV30">
        <v>1</v>
      </c>
      <c r="AW30">
        <v>1</v>
      </c>
      <c r="AZ30">
        <v>1</v>
      </c>
      <c r="BA30">
        <v>1</v>
      </c>
      <c r="BB30">
        <v>1</v>
      </c>
      <c r="BC30">
        <v>1</v>
      </c>
      <c r="BD30" t="s">
        <v>3</v>
      </c>
      <c r="BE30" t="s">
        <v>3</v>
      </c>
      <c r="BF30" t="s">
        <v>3</v>
      </c>
      <c r="BG30" t="s">
        <v>3</v>
      </c>
      <c r="BH30">
        <v>0</v>
      </c>
      <c r="BI30">
        <v>4</v>
      </c>
      <c r="BJ30" t="s">
        <v>32</v>
      </c>
      <c r="BM30">
        <v>0</v>
      </c>
      <c r="BN30">
        <v>0</v>
      </c>
      <c r="BO30" t="s">
        <v>3</v>
      </c>
      <c r="BP30">
        <v>0</v>
      </c>
      <c r="BQ30">
        <v>1</v>
      </c>
      <c r="BR30">
        <v>0</v>
      </c>
      <c r="BS30">
        <v>1</v>
      </c>
      <c r="BT30">
        <v>1</v>
      </c>
      <c r="BU30">
        <v>1</v>
      </c>
      <c r="BV30">
        <v>1</v>
      </c>
      <c r="BW30">
        <v>1</v>
      </c>
      <c r="BX30">
        <v>1</v>
      </c>
      <c r="BY30" t="s">
        <v>3</v>
      </c>
      <c r="BZ30">
        <v>70</v>
      </c>
      <c r="CA30">
        <v>10</v>
      </c>
      <c r="CF30">
        <v>0</v>
      </c>
      <c r="CG30">
        <v>0</v>
      </c>
      <c r="CM30">
        <v>0</v>
      </c>
      <c r="CN30" t="s">
        <v>3</v>
      </c>
      <c r="CO30">
        <v>0</v>
      </c>
      <c r="CP30">
        <f t="shared" si="36"/>
        <v>3681825.8600000003</v>
      </c>
      <c r="CQ30">
        <f t="shared" si="37"/>
        <v>1.1599999999999999</v>
      </c>
      <c r="CR30">
        <f>(((((ET30*4))*BB30-((EU30*4))*BS30)+AE30*BS30)*AV30)</f>
        <v>20942.48</v>
      </c>
      <c r="CS30">
        <f t="shared" si="38"/>
        <v>8852.56</v>
      </c>
      <c r="CT30">
        <f t="shared" si="39"/>
        <v>5317.6</v>
      </c>
      <c r="CU30">
        <f t="shared" si="40"/>
        <v>0</v>
      </c>
      <c r="CV30">
        <f t="shared" si="41"/>
        <v>24.88</v>
      </c>
      <c r="CW30">
        <f t="shared" si="42"/>
        <v>0</v>
      </c>
      <c r="CX30">
        <f t="shared" si="42"/>
        <v>0</v>
      </c>
      <c r="CY30">
        <f t="shared" si="43"/>
        <v>521869.26399999997</v>
      </c>
      <c r="CZ30">
        <f t="shared" si="44"/>
        <v>74552.752000000008</v>
      </c>
      <c r="DC30" t="s">
        <v>3</v>
      </c>
      <c r="DD30" t="s">
        <v>115</v>
      </c>
      <c r="DE30" t="s">
        <v>115</v>
      </c>
      <c r="DF30" t="s">
        <v>115</v>
      </c>
      <c r="DG30" t="s">
        <v>115</v>
      </c>
      <c r="DH30" t="s">
        <v>3</v>
      </c>
      <c r="DI30" t="s">
        <v>115</v>
      </c>
      <c r="DJ30" t="s">
        <v>115</v>
      </c>
      <c r="DK30" t="s">
        <v>3</v>
      </c>
      <c r="DL30" t="s">
        <v>3</v>
      </c>
      <c r="DM30" t="s">
        <v>3</v>
      </c>
      <c r="DN30">
        <v>0</v>
      </c>
      <c r="DO30">
        <v>0</v>
      </c>
      <c r="DP30">
        <v>1</v>
      </c>
      <c r="DQ30">
        <v>1</v>
      </c>
      <c r="DU30">
        <v>1010</v>
      </c>
      <c r="DV30" t="s">
        <v>31</v>
      </c>
      <c r="DW30" t="s">
        <v>31</v>
      </c>
      <c r="DX30">
        <v>10</v>
      </c>
      <c r="EE30">
        <v>32893472</v>
      </c>
      <c r="EF30">
        <v>1</v>
      </c>
      <c r="EG30" t="s">
        <v>20</v>
      </c>
      <c r="EH30">
        <v>0</v>
      </c>
      <c r="EI30" t="s">
        <v>3</v>
      </c>
      <c r="EJ30">
        <v>4</v>
      </c>
      <c r="EK30">
        <v>0</v>
      </c>
      <c r="EL30" t="s">
        <v>21</v>
      </c>
      <c r="EM30" t="s">
        <v>22</v>
      </c>
      <c r="EO30" t="s">
        <v>3</v>
      </c>
      <c r="EQ30">
        <v>0</v>
      </c>
      <c r="ER30">
        <v>6565.31</v>
      </c>
      <c r="ES30">
        <v>0.28999999999999998</v>
      </c>
      <c r="ET30">
        <v>5235.62</v>
      </c>
      <c r="EU30">
        <v>2213.14</v>
      </c>
      <c r="EV30">
        <v>1329.4</v>
      </c>
      <c r="EW30">
        <v>6.22</v>
      </c>
      <c r="EX30">
        <v>0</v>
      </c>
      <c r="EY30">
        <v>0</v>
      </c>
      <c r="FQ30">
        <v>0</v>
      </c>
      <c r="FR30">
        <f t="shared" si="45"/>
        <v>0</v>
      </c>
      <c r="FS30">
        <v>0</v>
      </c>
      <c r="FX30">
        <v>70</v>
      </c>
      <c r="FY30">
        <v>10</v>
      </c>
      <c r="GA30" t="s">
        <v>3</v>
      </c>
      <c r="GD30">
        <v>0</v>
      </c>
      <c r="GF30">
        <v>724073350</v>
      </c>
      <c r="GG30">
        <v>2</v>
      </c>
      <c r="GH30">
        <v>1</v>
      </c>
      <c r="GI30">
        <v>-2</v>
      </c>
      <c r="GJ30">
        <v>0</v>
      </c>
      <c r="GK30">
        <f>ROUND(R30*(R12)/100,2)</f>
        <v>1340419.23</v>
      </c>
      <c r="GL30">
        <f t="shared" si="46"/>
        <v>0</v>
      </c>
      <c r="GM30">
        <f t="shared" si="47"/>
        <v>5618667.0999999996</v>
      </c>
      <c r="GN30">
        <f t="shared" si="48"/>
        <v>0</v>
      </c>
      <c r="GO30">
        <f t="shared" si="49"/>
        <v>0</v>
      </c>
      <c r="GP30">
        <f t="shared" si="50"/>
        <v>5618667.0999999996</v>
      </c>
      <c r="GR30">
        <v>0</v>
      </c>
      <c r="GS30">
        <v>3</v>
      </c>
      <c r="GT30">
        <v>0</v>
      </c>
      <c r="GU30" t="s">
        <v>3</v>
      </c>
      <c r="GV30">
        <f>ROUND(GT30,6)</f>
        <v>0</v>
      </c>
      <c r="GW30">
        <v>1</v>
      </c>
      <c r="GX30">
        <f t="shared" si="51"/>
        <v>0</v>
      </c>
      <c r="HA30">
        <v>0</v>
      </c>
      <c r="HB30">
        <v>0</v>
      </c>
      <c r="IK30">
        <v>0</v>
      </c>
    </row>
    <row r="31" spans="1:245" x14ac:dyDescent="0.2">
      <c r="A31">
        <v>17</v>
      </c>
      <c r="B31">
        <v>1</v>
      </c>
      <c r="C31">
        <f>ROW(SmtRes!A7)</f>
        <v>7</v>
      </c>
      <c r="E31" t="s">
        <v>33</v>
      </c>
      <c r="F31" t="s">
        <v>34</v>
      </c>
      <c r="G31" t="s">
        <v>35</v>
      </c>
      <c r="H31" t="s">
        <v>17</v>
      </c>
      <c r="I31">
        <v>972</v>
      </c>
      <c r="J31">
        <v>0</v>
      </c>
      <c r="O31">
        <f t="shared" si="21"/>
        <v>0</v>
      </c>
      <c r="P31">
        <f t="shared" si="22"/>
        <v>0</v>
      </c>
      <c r="Q31">
        <f t="shared" si="23"/>
        <v>0</v>
      </c>
      <c r="R31">
        <f t="shared" si="24"/>
        <v>0</v>
      </c>
      <c r="S31">
        <f t="shared" si="25"/>
        <v>0</v>
      </c>
      <c r="T31">
        <f t="shared" si="26"/>
        <v>0</v>
      </c>
      <c r="U31">
        <f t="shared" si="27"/>
        <v>0</v>
      </c>
      <c r="V31">
        <f t="shared" si="28"/>
        <v>0</v>
      </c>
      <c r="W31">
        <f t="shared" si="29"/>
        <v>0</v>
      </c>
      <c r="X31">
        <f t="shared" si="30"/>
        <v>0</v>
      </c>
      <c r="Y31">
        <f t="shared" si="30"/>
        <v>0</v>
      </c>
      <c r="AA31">
        <v>33299672</v>
      </c>
      <c r="AB31">
        <f t="shared" si="31"/>
        <v>0</v>
      </c>
      <c r="AC31">
        <f>ROUND(((ES31*2)),6)</f>
        <v>0</v>
      </c>
      <c r="AD31">
        <f>ROUND(((((ET31*2))-((EU31*2)))+AE31),6)</f>
        <v>0</v>
      </c>
      <c r="AE31">
        <f t="shared" si="32"/>
        <v>0</v>
      </c>
      <c r="AF31">
        <f>ROUND(((EV31*4)),6)</f>
        <v>0</v>
      </c>
      <c r="AG31">
        <f t="shared" si="33"/>
        <v>0</v>
      </c>
      <c r="AH31">
        <f t="shared" si="34"/>
        <v>0</v>
      </c>
      <c r="AI31">
        <f t="shared" si="34"/>
        <v>0</v>
      </c>
      <c r="AJ31">
        <f t="shared" si="35"/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70</v>
      </c>
      <c r="AU31">
        <v>10</v>
      </c>
      <c r="AV31">
        <v>1</v>
      </c>
      <c r="AW31">
        <v>1</v>
      </c>
      <c r="AZ31">
        <v>1</v>
      </c>
      <c r="BA31">
        <v>1</v>
      </c>
      <c r="BB31">
        <v>1</v>
      </c>
      <c r="BC31">
        <v>1</v>
      </c>
      <c r="BD31" t="s">
        <v>3</v>
      </c>
      <c r="BE31" t="s">
        <v>3</v>
      </c>
      <c r="BF31" t="s">
        <v>3</v>
      </c>
      <c r="BG31" t="s">
        <v>3</v>
      </c>
      <c r="BH31">
        <v>0</v>
      </c>
      <c r="BI31">
        <v>4</v>
      </c>
      <c r="BJ31" t="s">
        <v>3</v>
      </c>
      <c r="BM31">
        <v>0</v>
      </c>
      <c r="BN31">
        <v>0</v>
      </c>
      <c r="BO31" t="s">
        <v>3</v>
      </c>
      <c r="BP31">
        <v>0</v>
      </c>
      <c r="BQ31">
        <v>1</v>
      </c>
      <c r="BR31">
        <v>0</v>
      </c>
      <c r="BS31">
        <v>1</v>
      </c>
      <c r="BT31">
        <v>1</v>
      </c>
      <c r="BU31">
        <v>1</v>
      </c>
      <c r="BV31">
        <v>1</v>
      </c>
      <c r="BW31">
        <v>1</v>
      </c>
      <c r="BX31">
        <v>1</v>
      </c>
      <c r="BY31" t="s">
        <v>3</v>
      </c>
      <c r="BZ31">
        <v>70</v>
      </c>
      <c r="CA31">
        <v>10</v>
      </c>
      <c r="CF31">
        <v>0</v>
      </c>
      <c r="CG31">
        <v>0</v>
      </c>
      <c r="CM31">
        <v>0</v>
      </c>
      <c r="CN31" t="s">
        <v>3</v>
      </c>
      <c r="CO31">
        <v>0</v>
      </c>
      <c r="CP31">
        <f t="shared" si="36"/>
        <v>0</v>
      </c>
      <c r="CQ31">
        <f t="shared" si="37"/>
        <v>0</v>
      </c>
      <c r="CR31">
        <f>(((((ET31*2))*BB31-((EU31*2))*BS31)+AE31*BS31)*AV31)</f>
        <v>0</v>
      </c>
      <c r="CS31">
        <f t="shared" si="38"/>
        <v>0</v>
      </c>
      <c r="CT31">
        <f t="shared" si="39"/>
        <v>0</v>
      </c>
      <c r="CU31">
        <f t="shared" si="40"/>
        <v>0</v>
      </c>
      <c r="CV31">
        <f t="shared" si="41"/>
        <v>0</v>
      </c>
      <c r="CW31">
        <f t="shared" si="42"/>
        <v>0</v>
      </c>
      <c r="CX31">
        <f t="shared" si="42"/>
        <v>0</v>
      </c>
      <c r="CY31">
        <f t="shared" si="43"/>
        <v>0</v>
      </c>
      <c r="CZ31">
        <f t="shared" si="44"/>
        <v>0</v>
      </c>
      <c r="DC31" t="s">
        <v>3</v>
      </c>
      <c r="DD31" t="s">
        <v>115</v>
      </c>
      <c r="DE31" t="s">
        <v>115</v>
      </c>
      <c r="DF31" t="s">
        <v>115</v>
      </c>
      <c r="DG31" t="s">
        <v>115</v>
      </c>
      <c r="DH31" t="s">
        <v>3</v>
      </c>
      <c r="DI31" t="s">
        <v>115</v>
      </c>
      <c r="DJ31" t="s">
        <v>115</v>
      </c>
      <c r="DK31" t="s">
        <v>3</v>
      </c>
      <c r="DL31" t="s">
        <v>3</v>
      </c>
      <c r="DM31" t="s">
        <v>3</v>
      </c>
      <c r="DN31">
        <v>0</v>
      </c>
      <c r="DO31">
        <v>0</v>
      </c>
      <c r="DP31">
        <v>1</v>
      </c>
      <c r="DQ31">
        <v>1</v>
      </c>
      <c r="DU31">
        <v>1010</v>
      </c>
      <c r="DV31" t="s">
        <v>17</v>
      </c>
      <c r="DW31" t="s">
        <v>17</v>
      </c>
      <c r="DX31">
        <v>1</v>
      </c>
      <c r="EE31">
        <v>32893472</v>
      </c>
      <c r="EF31">
        <v>1</v>
      </c>
      <c r="EG31" t="s">
        <v>20</v>
      </c>
      <c r="EH31">
        <v>0</v>
      </c>
      <c r="EI31" t="s">
        <v>3</v>
      </c>
      <c r="EJ31">
        <v>4</v>
      </c>
      <c r="EK31">
        <v>0</v>
      </c>
      <c r="EL31" t="s">
        <v>21</v>
      </c>
      <c r="EM31" t="s">
        <v>22</v>
      </c>
      <c r="EO31" t="s">
        <v>3</v>
      </c>
      <c r="EQ31">
        <v>0</v>
      </c>
      <c r="ER31">
        <v>0</v>
      </c>
      <c r="ES31">
        <v>0</v>
      </c>
      <c r="ET31">
        <v>0</v>
      </c>
      <c r="EU31">
        <v>0</v>
      </c>
      <c r="EV31">
        <v>0</v>
      </c>
      <c r="EW31">
        <v>0</v>
      </c>
      <c r="EX31">
        <v>0</v>
      </c>
      <c r="EY31">
        <v>0</v>
      </c>
      <c r="FQ31">
        <v>0</v>
      </c>
      <c r="FR31">
        <f t="shared" si="45"/>
        <v>0</v>
      </c>
      <c r="FS31">
        <v>0</v>
      </c>
      <c r="FX31">
        <v>70</v>
      </c>
      <c r="FY31">
        <v>10</v>
      </c>
      <c r="GA31" t="s">
        <v>3</v>
      </c>
      <c r="GD31">
        <v>0</v>
      </c>
      <c r="GF31">
        <v>-1382029165</v>
      </c>
      <c r="GG31">
        <v>2</v>
      </c>
      <c r="GH31">
        <v>0</v>
      </c>
      <c r="GI31">
        <v>-2</v>
      </c>
      <c r="GJ31">
        <v>0</v>
      </c>
      <c r="GK31">
        <f>ROUND(R31*(R12)/100,2)</f>
        <v>0</v>
      </c>
      <c r="GL31">
        <f t="shared" si="46"/>
        <v>0</v>
      </c>
      <c r="GM31">
        <f t="shared" si="47"/>
        <v>0</v>
      </c>
      <c r="GN31">
        <f t="shared" si="48"/>
        <v>0</v>
      </c>
      <c r="GO31">
        <f t="shared" si="49"/>
        <v>0</v>
      </c>
      <c r="GP31">
        <f t="shared" si="50"/>
        <v>0</v>
      </c>
      <c r="GR31">
        <v>0</v>
      </c>
      <c r="GS31">
        <v>3</v>
      </c>
      <c r="GT31">
        <v>0</v>
      </c>
      <c r="GU31" t="s">
        <v>19</v>
      </c>
      <c r="GV31">
        <f>ROUND((GT31*2),6)</f>
        <v>0</v>
      </c>
      <c r="GW31">
        <v>1</v>
      </c>
      <c r="GX31">
        <f t="shared" si="51"/>
        <v>0</v>
      </c>
      <c r="HA31">
        <v>0</v>
      </c>
      <c r="HB31">
        <v>0</v>
      </c>
      <c r="IK31">
        <v>0</v>
      </c>
    </row>
    <row r="32" spans="1:245" x14ac:dyDescent="0.2">
      <c r="A32">
        <v>18</v>
      </c>
      <c r="B32">
        <v>1</v>
      </c>
      <c r="C32">
        <v>6</v>
      </c>
      <c r="E32" t="s">
        <v>36</v>
      </c>
      <c r="F32" t="s">
        <v>37</v>
      </c>
      <c r="G32" t="s">
        <v>38</v>
      </c>
      <c r="H32" t="s">
        <v>39</v>
      </c>
      <c r="I32">
        <f>66.11316*2</f>
        <v>132.22631999999999</v>
      </c>
      <c r="J32">
        <v>6.8000000000000005E-2</v>
      </c>
      <c r="O32">
        <f t="shared" si="21"/>
        <v>26360.639999999999</v>
      </c>
      <c r="P32">
        <f t="shared" si="22"/>
        <v>0</v>
      </c>
      <c r="Q32">
        <f t="shared" si="23"/>
        <v>0</v>
      </c>
      <c r="R32">
        <f t="shared" si="24"/>
        <v>0</v>
      </c>
      <c r="S32">
        <f t="shared" si="25"/>
        <v>26360.639999999999</v>
      </c>
      <c r="T32">
        <f t="shared" si="26"/>
        <v>0</v>
      </c>
      <c r="U32">
        <f t="shared" si="27"/>
        <v>0</v>
      </c>
      <c r="V32">
        <f t="shared" si="28"/>
        <v>0</v>
      </c>
      <c r="W32">
        <f t="shared" si="29"/>
        <v>0</v>
      </c>
      <c r="X32">
        <f t="shared" si="30"/>
        <v>18452.45</v>
      </c>
      <c r="Y32">
        <f t="shared" si="30"/>
        <v>2636.06</v>
      </c>
      <c r="AA32">
        <v>33299672</v>
      </c>
      <c r="AB32">
        <f t="shared" si="31"/>
        <v>199.36</v>
      </c>
      <c r="AC32">
        <f>ROUND((ES32),6)</f>
        <v>0</v>
      </c>
      <c r="AD32">
        <f>ROUND((((ET32)-(EU32))+AE32),6)</f>
        <v>0</v>
      </c>
      <c r="AE32">
        <f>ROUND((EU32),6)</f>
        <v>0</v>
      </c>
      <c r="AF32">
        <f>ROUND((EV32),6)</f>
        <v>199.36</v>
      </c>
      <c r="AG32">
        <f t="shared" si="33"/>
        <v>0</v>
      </c>
      <c r="AH32">
        <f>((EW32*2))</f>
        <v>0</v>
      </c>
      <c r="AI32">
        <f>(EX32)</f>
        <v>0</v>
      </c>
      <c r="AJ32">
        <f t="shared" si="35"/>
        <v>0</v>
      </c>
      <c r="AK32">
        <v>199.36</v>
      </c>
      <c r="AL32">
        <v>0</v>
      </c>
      <c r="AM32">
        <v>0</v>
      </c>
      <c r="AN32">
        <v>0</v>
      </c>
      <c r="AO32">
        <v>199.36</v>
      </c>
      <c r="AP32">
        <v>0</v>
      </c>
      <c r="AQ32">
        <v>0</v>
      </c>
      <c r="AR32">
        <v>0</v>
      </c>
      <c r="AS32">
        <v>0</v>
      </c>
      <c r="AT32">
        <v>70</v>
      </c>
      <c r="AU32">
        <v>10</v>
      </c>
      <c r="AV32">
        <v>1</v>
      </c>
      <c r="AW32">
        <v>1</v>
      </c>
      <c r="AZ32">
        <v>1</v>
      </c>
      <c r="BA32">
        <v>1</v>
      </c>
      <c r="BB32">
        <v>1</v>
      </c>
      <c r="BC32">
        <v>1</v>
      </c>
      <c r="BD32" t="s">
        <v>3</v>
      </c>
      <c r="BE32" t="s">
        <v>3</v>
      </c>
      <c r="BF32" t="s">
        <v>3</v>
      </c>
      <c r="BG32" t="s">
        <v>3</v>
      </c>
      <c r="BH32">
        <v>1</v>
      </c>
      <c r="BI32">
        <v>4</v>
      </c>
      <c r="BJ32" t="s">
        <v>3</v>
      </c>
      <c r="BM32">
        <v>0</v>
      </c>
      <c r="BN32">
        <v>0</v>
      </c>
      <c r="BO32" t="s">
        <v>3</v>
      </c>
      <c r="BP32">
        <v>0</v>
      </c>
      <c r="BQ32">
        <v>1</v>
      </c>
      <c r="BR32">
        <v>0</v>
      </c>
      <c r="BS32">
        <v>1</v>
      </c>
      <c r="BT32">
        <v>1</v>
      </c>
      <c r="BU32">
        <v>1</v>
      </c>
      <c r="BV32">
        <v>1</v>
      </c>
      <c r="BW32">
        <v>1</v>
      </c>
      <c r="BX32">
        <v>1</v>
      </c>
      <c r="BY32" t="s">
        <v>3</v>
      </c>
      <c r="BZ32">
        <v>70</v>
      </c>
      <c r="CA32">
        <v>10</v>
      </c>
      <c r="CF32">
        <v>0</v>
      </c>
      <c r="CG32">
        <v>0</v>
      </c>
      <c r="CM32">
        <v>0</v>
      </c>
      <c r="CN32" t="s">
        <v>3</v>
      </c>
      <c r="CO32">
        <v>0</v>
      </c>
      <c r="CP32">
        <f t="shared" si="36"/>
        <v>26360.639999999999</v>
      </c>
      <c r="CQ32">
        <f t="shared" si="37"/>
        <v>0</v>
      </c>
      <c r="CR32">
        <f>((((ET32)*BB32-(EU32)*BS32)+AE32*BS32)*AV32)</f>
        <v>0</v>
      </c>
      <c r="CS32">
        <f t="shared" si="38"/>
        <v>0</v>
      </c>
      <c r="CT32">
        <f t="shared" si="39"/>
        <v>199.36</v>
      </c>
      <c r="CU32">
        <f t="shared" si="40"/>
        <v>0</v>
      </c>
      <c r="CV32">
        <f t="shared" si="41"/>
        <v>0</v>
      </c>
      <c r="CW32">
        <f t="shared" si="42"/>
        <v>0</v>
      </c>
      <c r="CX32">
        <f t="shared" si="42"/>
        <v>0</v>
      </c>
      <c r="CY32">
        <f t="shared" si="43"/>
        <v>18452.448</v>
      </c>
      <c r="CZ32">
        <f t="shared" si="44"/>
        <v>2636.0640000000003</v>
      </c>
      <c r="DC32" t="s">
        <v>3</v>
      </c>
      <c r="DD32" t="s">
        <v>3</v>
      </c>
      <c r="DE32" t="s">
        <v>3</v>
      </c>
      <c r="DF32" t="s">
        <v>3</v>
      </c>
      <c r="DG32" t="s">
        <v>3</v>
      </c>
      <c r="DH32" t="s">
        <v>3</v>
      </c>
      <c r="DJ32" t="s">
        <v>3</v>
      </c>
      <c r="DK32" t="s">
        <v>3</v>
      </c>
      <c r="DL32" t="s">
        <v>3</v>
      </c>
      <c r="DM32" t="s">
        <v>3</v>
      </c>
      <c r="DN32">
        <v>0</v>
      </c>
      <c r="DO32">
        <v>0</v>
      </c>
      <c r="DP32">
        <v>1</v>
      </c>
      <c r="DQ32">
        <v>1</v>
      </c>
      <c r="DU32">
        <v>1013</v>
      </c>
      <c r="DV32" t="s">
        <v>39</v>
      </c>
      <c r="DW32" t="s">
        <v>39</v>
      </c>
      <c r="DX32">
        <v>1</v>
      </c>
      <c r="EE32">
        <v>32893472</v>
      </c>
      <c r="EF32">
        <v>1</v>
      </c>
      <c r="EG32" t="s">
        <v>20</v>
      </c>
      <c r="EH32">
        <v>0</v>
      </c>
      <c r="EI32" t="s">
        <v>3</v>
      </c>
      <c r="EJ32">
        <v>4</v>
      </c>
      <c r="EK32">
        <v>0</v>
      </c>
      <c r="EL32" t="s">
        <v>21</v>
      </c>
      <c r="EM32" t="s">
        <v>22</v>
      </c>
      <c r="EO32" t="s">
        <v>3</v>
      </c>
      <c r="EQ32">
        <v>0</v>
      </c>
      <c r="ER32">
        <v>155.85</v>
      </c>
      <c r="ES32">
        <v>0</v>
      </c>
      <c r="ET32">
        <v>0</v>
      </c>
      <c r="EU32">
        <v>0</v>
      </c>
      <c r="EV32">
        <v>199.36</v>
      </c>
      <c r="EW32">
        <v>0</v>
      </c>
      <c r="EX32">
        <v>0</v>
      </c>
      <c r="FQ32">
        <v>0</v>
      </c>
      <c r="FR32">
        <f t="shared" si="45"/>
        <v>0</v>
      </c>
      <c r="FS32">
        <v>1</v>
      </c>
      <c r="FX32">
        <v>70</v>
      </c>
      <c r="FY32">
        <v>10</v>
      </c>
      <c r="GA32" t="s">
        <v>3</v>
      </c>
      <c r="GD32">
        <v>0</v>
      </c>
      <c r="GF32">
        <v>-2006313420</v>
      </c>
      <c r="GG32">
        <v>2</v>
      </c>
      <c r="GH32">
        <v>2</v>
      </c>
      <c r="GI32">
        <v>-2</v>
      </c>
      <c r="GJ32">
        <v>0</v>
      </c>
      <c r="GK32">
        <f>ROUND(R32*(R12)/100,2)</f>
        <v>0</v>
      </c>
      <c r="GL32">
        <f t="shared" si="46"/>
        <v>0</v>
      </c>
      <c r="GM32">
        <f t="shared" si="47"/>
        <v>47449.15</v>
      </c>
      <c r="GN32">
        <f t="shared" si="48"/>
        <v>0</v>
      </c>
      <c r="GO32">
        <f t="shared" si="49"/>
        <v>0</v>
      </c>
      <c r="GP32">
        <f t="shared" si="50"/>
        <v>47449.15</v>
      </c>
      <c r="GR32">
        <v>0</v>
      </c>
      <c r="GS32">
        <v>7</v>
      </c>
      <c r="GT32">
        <v>0</v>
      </c>
      <c r="GU32" t="s">
        <v>3</v>
      </c>
      <c r="GV32">
        <f>ROUND(GT32,6)</f>
        <v>0</v>
      </c>
      <c r="GW32">
        <v>1</v>
      </c>
      <c r="GX32">
        <f t="shared" si="51"/>
        <v>0</v>
      </c>
      <c r="HA32">
        <v>0</v>
      </c>
      <c r="HB32">
        <v>0</v>
      </c>
      <c r="IK32">
        <v>0</v>
      </c>
    </row>
    <row r="33" spans="1:245" x14ac:dyDescent="0.2">
      <c r="A33">
        <v>18</v>
      </c>
      <c r="B33">
        <v>1</v>
      </c>
      <c r="C33">
        <v>7</v>
      </c>
      <c r="E33" t="s">
        <v>40</v>
      </c>
      <c r="F33" t="s">
        <v>41</v>
      </c>
      <c r="G33" t="s">
        <v>42</v>
      </c>
      <c r="H33" t="s">
        <v>43</v>
      </c>
      <c r="I33">
        <f>66.098675*2</f>
        <v>132.19735</v>
      </c>
      <c r="J33">
        <v>6.8000000000000005E-2</v>
      </c>
      <c r="O33">
        <f t="shared" si="21"/>
        <v>59564.160000000003</v>
      </c>
      <c r="P33">
        <f t="shared" si="22"/>
        <v>0</v>
      </c>
      <c r="Q33">
        <f t="shared" si="23"/>
        <v>59564.160000000003</v>
      </c>
      <c r="R33">
        <f t="shared" si="24"/>
        <v>30964.59</v>
      </c>
      <c r="S33">
        <f t="shared" si="25"/>
        <v>0</v>
      </c>
      <c r="T33">
        <f t="shared" si="26"/>
        <v>0</v>
      </c>
      <c r="U33">
        <f t="shared" si="27"/>
        <v>0</v>
      </c>
      <c r="V33">
        <f t="shared" si="28"/>
        <v>0</v>
      </c>
      <c r="W33">
        <f t="shared" si="29"/>
        <v>0</v>
      </c>
      <c r="X33">
        <f t="shared" si="30"/>
        <v>0</v>
      </c>
      <c r="Y33">
        <f t="shared" si="30"/>
        <v>0</v>
      </c>
      <c r="AA33">
        <v>33299672</v>
      </c>
      <c r="AB33">
        <f t="shared" si="31"/>
        <v>450.57</v>
      </c>
      <c r="AC33">
        <f>ROUND((ES33),6)</f>
        <v>0</v>
      </c>
      <c r="AD33">
        <f>ROUND((((ET33)-(EU33))+AE33),6)</f>
        <v>450.57</v>
      </c>
      <c r="AE33">
        <f>ROUND((EU33),6)</f>
        <v>234.23</v>
      </c>
      <c r="AF33">
        <f>ROUND((EV33),6)</f>
        <v>0</v>
      </c>
      <c r="AG33">
        <f t="shared" si="33"/>
        <v>0</v>
      </c>
      <c r="AH33">
        <f>(EW33)</f>
        <v>0</v>
      </c>
      <c r="AI33">
        <f>(EX33)</f>
        <v>0</v>
      </c>
      <c r="AJ33">
        <f t="shared" si="35"/>
        <v>0</v>
      </c>
      <c r="AK33">
        <v>450.57</v>
      </c>
      <c r="AL33">
        <v>0</v>
      </c>
      <c r="AM33">
        <v>450.57</v>
      </c>
      <c r="AN33">
        <v>234.23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70</v>
      </c>
      <c r="AU33">
        <v>10</v>
      </c>
      <c r="AV33">
        <v>1</v>
      </c>
      <c r="AW33">
        <v>1</v>
      </c>
      <c r="AZ33">
        <v>1</v>
      </c>
      <c r="BA33">
        <v>1</v>
      </c>
      <c r="BB33">
        <v>1</v>
      </c>
      <c r="BC33">
        <v>1</v>
      </c>
      <c r="BD33" t="s">
        <v>3</v>
      </c>
      <c r="BE33" t="s">
        <v>3</v>
      </c>
      <c r="BF33" t="s">
        <v>3</v>
      </c>
      <c r="BG33" t="s">
        <v>3</v>
      </c>
      <c r="BH33">
        <v>2</v>
      </c>
      <c r="BI33">
        <v>4</v>
      </c>
      <c r="BJ33" t="s">
        <v>44</v>
      </c>
      <c r="BM33">
        <v>0</v>
      </c>
      <c r="BN33">
        <v>0</v>
      </c>
      <c r="BO33" t="s">
        <v>3</v>
      </c>
      <c r="BP33">
        <v>0</v>
      </c>
      <c r="BQ33">
        <v>1</v>
      </c>
      <c r="BR33">
        <v>0</v>
      </c>
      <c r="BS33">
        <v>1</v>
      </c>
      <c r="BT33">
        <v>1</v>
      </c>
      <c r="BU33">
        <v>1</v>
      </c>
      <c r="BV33">
        <v>1</v>
      </c>
      <c r="BW33">
        <v>1</v>
      </c>
      <c r="BX33">
        <v>1</v>
      </c>
      <c r="BY33" t="s">
        <v>3</v>
      </c>
      <c r="BZ33">
        <v>70</v>
      </c>
      <c r="CA33">
        <v>10</v>
      </c>
      <c r="CF33">
        <v>0</v>
      </c>
      <c r="CG33">
        <v>0</v>
      </c>
      <c r="CM33">
        <v>0</v>
      </c>
      <c r="CN33" t="s">
        <v>3</v>
      </c>
      <c r="CO33">
        <v>0</v>
      </c>
      <c r="CP33">
        <f t="shared" si="36"/>
        <v>59564.160000000003</v>
      </c>
      <c r="CQ33">
        <f t="shared" si="37"/>
        <v>0</v>
      </c>
      <c r="CR33">
        <f>((((ET33)*BB33-(EU33)*BS33)+AE33*BS33)*AV33)</f>
        <v>450.57</v>
      </c>
      <c r="CS33">
        <f t="shared" si="38"/>
        <v>234.23</v>
      </c>
      <c r="CT33">
        <f t="shared" si="39"/>
        <v>0</v>
      </c>
      <c r="CU33">
        <f t="shared" si="40"/>
        <v>0</v>
      </c>
      <c r="CV33">
        <f t="shared" si="41"/>
        <v>0</v>
      </c>
      <c r="CW33">
        <f t="shared" si="42"/>
        <v>0</v>
      </c>
      <c r="CX33">
        <f t="shared" si="42"/>
        <v>0</v>
      </c>
      <c r="CY33">
        <f t="shared" si="43"/>
        <v>0</v>
      </c>
      <c r="CZ33">
        <f t="shared" si="44"/>
        <v>0</v>
      </c>
      <c r="DC33" t="s">
        <v>3</v>
      </c>
      <c r="DD33" t="s">
        <v>3</v>
      </c>
      <c r="DE33" t="s">
        <v>3</v>
      </c>
      <c r="DF33" t="s">
        <v>3</v>
      </c>
      <c r="DG33" t="s">
        <v>3</v>
      </c>
      <c r="DH33" t="s">
        <v>3</v>
      </c>
      <c r="DI33" t="s">
        <v>3</v>
      </c>
      <c r="DJ33" t="s">
        <v>3</v>
      </c>
      <c r="DK33" t="s">
        <v>3</v>
      </c>
      <c r="DL33" t="s">
        <v>3</v>
      </c>
      <c r="DM33" t="s">
        <v>3</v>
      </c>
      <c r="DN33">
        <v>0</v>
      </c>
      <c r="DO33">
        <v>0</v>
      </c>
      <c r="DP33">
        <v>1</v>
      </c>
      <c r="DQ33">
        <v>1</v>
      </c>
      <c r="DU33">
        <v>1011</v>
      </c>
      <c r="DV33" t="s">
        <v>43</v>
      </c>
      <c r="DW33" t="s">
        <v>43</v>
      </c>
      <c r="DX33">
        <v>1</v>
      </c>
      <c r="EE33">
        <v>32893472</v>
      </c>
      <c r="EF33">
        <v>1</v>
      </c>
      <c r="EG33" t="s">
        <v>20</v>
      </c>
      <c r="EH33">
        <v>0</v>
      </c>
      <c r="EI33" t="s">
        <v>3</v>
      </c>
      <c r="EJ33">
        <v>4</v>
      </c>
      <c r="EK33">
        <v>0</v>
      </c>
      <c r="EL33" t="s">
        <v>21</v>
      </c>
      <c r="EM33" t="s">
        <v>22</v>
      </c>
      <c r="EO33" t="s">
        <v>3</v>
      </c>
      <c r="EQ33">
        <v>0</v>
      </c>
      <c r="ER33">
        <v>409.61</v>
      </c>
      <c r="ES33">
        <v>0</v>
      </c>
      <c r="ET33">
        <v>450.57</v>
      </c>
      <c r="EU33">
        <v>234.23</v>
      </c>
      <c r="EV33">
        <v>0</v>
      </c>
      <c r="EW33">
        <v>0</v>
      </c>
      <c r="EX33">
        <v>0</v>
      </c>
      <c r="FQ33">
        <v>0</v>
      </c>
      <c r="FR33">
        <f t="shared" si="45"/>
        <v>0</v>
      </c>
      <c r="FS33">
        <v>0</v>
      </c>
      <c r="FX33">
        <v>70</v>
      </c>
      <c r="FY33">
        <v>10</v>
      </c>
      <c r="GA33" t="s">
        <v>3</v>
      </c>
      <c r="GD33">
        <v>0</v>
      </c>
      <c r="GF33">
        <v>1521689857</v>
      </c>
      <c r="GG33">
        <v>2</v>
      </c>
      <c r="GH33">
        <v>2</v>
      </c>
      <c r="GI33">
        <v>-2</v>
      </c>
      <c r="GJ33">
        <v>0</v>
      </c>
      <c r="GK33">
        <f>ROUND(R33*(R12)/100,2)</f>
        <v>33441.760000000002</v>
      </c>
      <c r="GL33">
        <f t="shared" si="46"/>
        <v>0</v>
      </c>
      <c r="GM33">
        <f t="shared" si="47"/>
        <v>93005.92</v>
      </c>
      <c r="GN33">
        <f t="shared" si="48"/>
        <v>0</v>
      </c>
      <c r="GO33">
        <f t="shared" si="49"/>
        <v>0</v>
      </c>
      <c r="GP33">
        <f t="shared" si="50"/>
        <v>93005.92</v>
      </c>
      <c r="GR33">
        <v>0</v>
      </c>
      <c r="GS33">
        <v>0</v>
      </c>
      <c r="GT33">
        <v>0</v>
      </c>
      <c r="GU33" t="s">
        <v>3</v>
      </c>
      <c r="GV33">
        <f>ROUND(GT33,6)</f>
        <v>0</v>
      </c>
      <c r="GW33">
        <v>1</v>
      </c>
      <c r="GX33">
        <f t="shared" si="51"/>
        <v>0</v>
      </c>
      <c r="HA33">
        <v>0</v>
      </c>
      <c r="HB33">
        <v>0</v>
      </c>
      <c r="IK33">
        <v>0</v>
      </c>
    </row>
    <row r="35" spans="1:245" x14ac:dyDescent="0.2">
      <c r="A35" s="2">
        <v>51</v>
      </c>
      <c r="B35" s="2">
        <f>B24</f>
        <v>1</v>
      </c>
      <c r="C35" s="2">
        <f>A24</f>
        <v>4</v>
      </c>
      <c r="D35" s="2">
        <f>ROW(A24)</f>
        <v>24</v>
      </c>
      <c r="E35" s="2"/>
      <c r="F35" s="2" t="str">
        <f>IF(F24&lt;&gt;"",F24,"")</f>
        <v>Новый раздел</v>
      </c>
      <c r="G35" s="2" t="str">
        <f>IF(G24&lt;&gt;"",G24,"")</f>
        <v>Технический осмотр</v>
      </c>
      <c r="H35" s="2">
        <v>0</v>
      </c>
      <c r="I35" s="2"/>
      <c r="J35" s="2"/>
      <c r="K35" s="2"/>
      <c r="L35" s="2"/>
      <c r="M35" s="2"/>
      <c r="N35" s="2"/>
      <c r="O35" s="2">
        <f t="shared" ref="O35:T35" si="52">ROUND(AB35,2)</f>
        <v>3785622.06</v>
      </c>
      <c r="P35" s="2">
        <f t="shared" si="52"/>
        <v>162.63999999999999</v>
      </c>
      <c r="Q35" s="2">
        <f t="shared" si="52"/>
        <v>2995699.86</v>
      </c>
      <c r="R35" s="2">
        <f t="shared" si="52"/>
        <v>1272093.51</v>
      </c>
      <c r="S35" s="2">
        <f t="shared" si="52"/>
        <v>789759.56</v>
      </c>
      <c r="T35" s="2">
        <f t="shared" si="52"/>
        <v>0</v>
      </c>
      <c r="U35" s="2">
        <f>AH35</f>
        <v>3535.2357199999997</v>
      </c>
      <c r="V35" s="2">
        <f>AI35</f>
        <v>0</v>
      </c>
      <c r="W35" s="2">
        <f>ROUND(AJ35,2)</f>
        <v>0</v>
      </c>
      <c r="X35" s="2">
        <f>ROUND(AK35,2)</f>
        <v>552831.68999999994</v>
      </c>
      <c r="Y35" s="2">
        <f>ROUND(AL35,2)</f>
        <v>78975.95</v>
      </c>
      <c r="Z35" s="2"/>
      <c r="AA35" s="2"/>
      <c r="AB35" s="2">
        <f>ROUND(SUMIF(AA28:AA33,"=33299672",O28:O33),2)</f>
        <v>3785622.06</v>
      </c>
      <c r="AC35" s="2">
        <f>ROUND(SUMIF(AA28:AA33,"=33299672",P28:P33),2)</f>
        <v>162.63999999999999</v>
      </c>
      <c r="AD35" s="2">
        <f>ROUND(SUMIF(AA28:AA33,"=33299672",Q28:Q33),2)</f>
        <v>2995699.86</v>
      </c>
      <c r="AE35" s="2">
        <f>ROUND(SUMIF(AA28:AA33,"=33299672",R28:R33),2)</f>
        <v>1272093.51</v>
      </c>
      <c r="AF35" s="2">
        <f>ROUND(SUMIF(AA28:AA33,"=33299672",S28:S33),2)</f>
        <v>789759.56</v>
      </c>
      <c r="AG35" s="2">
        <f>ROUND(SUMIF(AA28:AA33,"=33299672",T28:T33),2)</f>
        <v>0</v>
      </c>
      <c r="AH35" s="2">
        <f>SUMIF(AA28:AA33,"=33299672",U28:U33)</f>
        <v>3535.2357199999997</v>
      </c>
      <c r="AI35" s="2">
        <f>SUMIF(AA28:AA33,"=33299672",V28:V33)</f>
        <v>0</v>
      </c>
      <c r="AJ35" s="2">
        <f>ROUND(SUMIF(AA28:AA33,"=33299672",W28:W33),2)</f>
        <v>0</v>
      </c>
      <c r="AK35" s="2">
        <f>ROUND(SUMIF(AA28:AA33,"=33299672",X28:X33),2)</f>
        <v>552831.68999999994</v>
      </c>
      <c r="AL35" s="2">
        <f>ROUND(SUMIF(AA28:AA33,"=33299672",Y28:Y33),2)</f>
        <v>78975.95</v>
      </c>
      <c r="AM35" s="2"/>
      <c r="AN35" s="2"/>
      <c r="AO35" s="2">
        <f t="shared" ref="AO35:BC35" si="53">ROUND(BX35,2)</f>
        <v>0</v>
      </c>
      <c r="AP35" s="2">
        <f t="shared" si="53"/>
        <v>0</v>
      </c>
      <c r="AQ35" s="2">
        <f t="shared" si="53"/>
        <v>0</v>
      </c>
      <c r="AR35" s="2">
        <f t="shared" si="53"/>
        <v>5791290.6900000004</v>
      </c>
      <c r="AS35" s="2">
        <f t="shared" si="53"/>
        <v>0</v>
      </c>
      <c r="AT35" s="2">
        <f t="shared" si="53"/>
        <v>0</v>
      </c>
      <c r="AU35" s="2">
        <f t="shared" si="53"/>
        <v>5791290.6900000004</v>
      </c>
      <c r="AV35" s="2">
        <f t="shared" si="53"/>
        <v>162.63999999999999</v>
      </c>
      <c r="AW35" s="2">
        <f t="shared" si="53"/>
        <v>162.63999999999999</v>
      </c>
      <c r="AX35" s="2">
        <f t="shared" si="53"/>
        <v>0</v>
      </c>
      <c r="AY35" s="2">
        <f t="shared" si="53"/>
        <v>162.63999999999999</v>
      </c>
      <c r="AZ35" s="2">
        <f t="shared" si="53"/>
        <v>0</v>
      </c>
      <c r="BA35" s="2">
        <f t="shared" si="53"/>
        <v>0</v>
      </c>
      <c r="BB35" s="2">
        <f t="shared" si="53"/>
        <v>0</v>
      </c>
      <c r="BC35" s="2">
        <f t="shared" si="53"/>
        <v>0</v>
      </c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>
        <f>ROUND(SUMIF(AA28:AA33,"=33299672",FQ28:FQ33),2)</f>
        <v>0</v>
      </c>
      <c r="BY35" s="2">
        <f>ROUND(SUMIF(AA28:AA33,"=33299672",FR28:FR33),2)</f>
        <v>0</v>
      </c>
      <c r="BZ35" s="2">
        <f>ROUND(SUMIF(AA28:AA33,"=33299672",GL28:GL33),2)</f>
        <v>0</v>
      </c>
      <c r="CA35" s="2">
        <f>ROUND(SUMIF(AA28:AA33,"=33299672",GM28:GM33),2)</f>
        <v>5791290.6900000004</v>
      </c>
      <c r="CB35" s="2">
        <f>ROUND(SUMIF(AA28:AA33,"=33299672",GN28:GN33),2)</f>
        <v>0</v>
      </c>
      <c r="CC35" s="2">
        <f>ROUND(SUMIF(AA28:AA33,"=33299672",GO28:GO33),2)</f>
        <v>0</v>
      </c>
      <c r="CD35" s="2">
        <f>ROUND(SUMIF(AA28:AA33,"=33299672",GP28:GP33),2)</f>
        <v>5791290.6900000004</v>
      </c>
      <c r="CE35" s="2">
        <f>AC35-BX35</f>
        <v>162.63999999999999</v>
      </c>
      <c r="CF35" s="2">
        <f>AC35-BY35</f>
        <v>162.63999999999999</v>
      </c>
      <c r="CG35" s="2">
        <f>BX35-BZ35</f>
        <v>0</v>
      </c>
      <c r="CH35" s="2">
        <f>AC35-BX35-BY35+BZ35</f>
        <v>162.63999999999999</v>
      </c>
      <c r="CI35" s="2">
        <f>BY35-BZ35</f>
        <v>0</v>
      </c>
      <c r="CJ35" s="2">
        <f>ROUND(SUMIF(AA28:AA33,"=33299672",GX28:GX33),2)</f>
        <v>0</v>
      </c>
      <c r="CK35" s="2">
        <f>ROUND(SUMIF(AA28:AA33,"=33299672",GY28:GY33),2)</f>
        <v>0</v>
      </c>
      <c r="CL35" s="2">
        <f>ROUND(SUMIF(AA28:AA33,"=33299672",GZ28:GZ33),2)</f>
        <v>0</v>
      </c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3"/>
      <c r="GB35" s="3"/>
      <c r="GC35" s="3"/>
      <c r="GD35" s="3"/>
      <c r="GE35" s="3"/>
      <c r="GF35" s="3"/>
      <c r="GG35" s="3"/>
      <c r="GH35" s="3"/>
      <c r="GI35" s="3"/>
      <c r="GJ35" s="3"/>
      <c r="GK35" s="3"/>
      <c r="GL35" s="3"/>
      <c r="GM35" s="3"/>
      <c r="GN35" s="3"/>
      <c r="GO35" s="3"/>
      <c r="GP35" s="3"/>
      <c r="GQ35" s="3"/>
      <c r="GR35" s="3"/>
      <c r="GS35" s="3"/>
      <c r="GT35" s="3"/>
      <c r="GU35" s="3"/>
      <c r="GV35" s="3"/>
      <c r="GW35" s="3"/>
      <c r="GX35" s="3">
        <v>0</v>
      </c>
    </row>
    <row r="37" spans="1:245" x14ac:dyDescent="0.2">
      <c r="A37" s="4">
        <v>50</v>
      </c>
      <c r="B37" s="4">
        <v>0</v>
      </c>
      <c r="C37" s="4">
        <v>0</v>
      </c>
      <c r="D37" s="4">
        <v>1</v>
      </c>
      <c r="E37" s="4">
        <v>201</v>
      </c>
      <c r="F37" s="4">
        <f>ROUND(Source!O35,O37)</f>
        <v>3785622.06</v>
      </c>
      <c r="G37" s="4" t="s">
        <v>45</v>
      </c>
      <c r="H37" s="4" t="s">
        <v>46</v>
      </c>
      <c r="I37" s="4"/>
      <c r="J37" s="4"/>
      <c r="K37" s="4">
        <v>201</v>
      </c>
      <c r="L37" s="4">
        <v>1</v>
      </c>
      <c r="M37" s="4">
        <v>3</v>
      </c>
      <c r="N37" s="4" t="s">
        <v>3</v>
      </c>
      <c r="O37" s="4">
        <v>2</v>
      </c>
      <c r="P37" s="4"/>
      <c r="Q37" s="4"/>
      <c r="R37" s="4"/>
      <c r="S37" s="4"/>
      <c r="T37" s="4"/>
      <c r="U37" s="4"/>
      <c r="V37" s="4"/>
      <c r="W37" s="4"/>
    </row>
    <row r="38" spans="1:245" x14ac:dyDescent="0.2">
      <c r="A38" s="4">
        <v>50</v>
      </c>
      <c r="B38" s="4">
        <v>0</v>
      </c>
      <c r="C38" s="4">
        <v>0</v>
      </c>
      <c r="D38" s="4">
        <v>1</v>
      </c>
      <c r="E38" s="4">
        <v>202</v>
      </c>
      <c r="F38" s="4">
        <f>ROUND(Source!P35,O38)</f>
        <v>162.63999999999999</v>
      </c>
      <c r="G38" s="4" t="s">
        <v>47</v>
      </c>
      <c r="H38" s="4" t="s">
        <v>48</v>
      </c>
      <c r="I38" s="4"/>
      <c r="J38" s="4"/>
      <c r="K38" s="4">
        <v>202</v>
      </c>
      <c r="L38" s="4">
        <v>2</v>
      </c>
      <c r="M38" s="4">
        <v>3</v>
      </c>
      <c r="N38" s="4" t="s">
        <v>3</v>
      </c>
      <c r="O38" s="4">
        <v>2</v>
      </c>
      <c r="P38" s="4"/>
      <c r="Q38" s="4"/>
      <c r="R38" s="4"/>
      <c r="S38" s="4"/>
      <c r="T38" s="4"/>
      <c r="U38" s="4"/>
      <c r="V38" s="4"/>
      <c r="W38" s="4"/>
    </row>
    <row r="39" spans="1:245" x14ac:dyDescent="0.2">
      <c r="A39" s="4">
        <v>50</v>
      </c>
      <c r="B39" s="4">
        <v>0</v>
      </c>
      <c r="C39" s="4">
        <v>0</v>
      </c>
      <c r="D39" s="4">
        <v>1</v>
      </c>
      <c r="E39" s="4">
        <v>222</v>
      </c>
      <c r="F39" s="4">
        <f>ROUND(Source!AO35,O39)</f>
        <v>0</v>
      </c>
      <c r="G39" s="4" t="s">
        <v>49</v>
      </c>
      <c r="H39" s="4" t="s">
        <v>50</v>
      </c>
      <c r="I39" s="4"/>
      <c r="J39" s="4"/>
      <c r="K39" s="4">
        <v>222</v>
      </c>
      <c r="L39" s="4">
        <v>3</v>
      </c>
      <c r="M39" s="4">
        <v>3</v>
      </c>
      <c r="N39" s="4" t="s">
        <v>3</v>
      </c>
      <c r="O39" s="4">
        <v>2</v>
      </c>
      <c r="P39" s="4"/>
      <c r="Q39" s="4"/>
      <c r="R39" s="4"/>
      <c r="S39" s="4"/>
      <c r="T39" s="4"/>
      <c r="U39" s="4"/>
      <c r="V39" s="4"/>
      <c r="W39" s="4"/>
    </row>
    <row r="40" spans="1:245" x14ac:dyDescent="0.2">
      <c r="A40" s="4">
        <v>50</v>
      </c>
      <c r="B40" s="4">
        <v>0</v>
      </c>
      <c r="C40" s="4">
        <v>0</v>
      </c>
      <c r="D40" s="4">
        <v>1</v>
      </c>
      <c r="E40" s="4">
        <v>225</v>
      </c>
      <c r="F40" s="4">
        <f>ROUND(Source!AV35,O40)</f>
        <v>162.63999999999999</v>
      </c>
      <c r="G40" s="4" t="s">
        <v>51</v>
      </c>
      <c r="H40" s="4" t="s">
        <v>52</v>
      </c>
      <c r="I40" s="4"/>
      <c r="J40" s="4"/>
      <c r="K40" s="4">
        <v>225</v>
      </c>
      <c r="L40" s="4">
        <v>4</v>
      </c>
      <c r="M40" s="4">
        <v>3</v>
      </c>
      <c r="N40" s="4" t="s">
        <v>3</v>
      </c>
      <c r="O40" s="4">
        <v>2</v>
      </c>
      <c r="P40" s="4"/>
      <c r="Q40" s="4"/>
      <c r="R40" s="4"/>
      <c r="S40" s="4"/>
      <c r="T40" s="4"/>
      <c r="U40" s="4"/>
      <c r="V40" s="4"/>
      <c r="W40" s="4"/>
    </row>
    <row r="41" spans="1:245" x14ac:dyDescent="0.2">
      <c r="A41" s="4">
        <v>50</v>
      </c>
      <c r="B41" s="4">
        <v>0</v>
      </c>
      <c r="C41" s="4">
        <v>0</v>
      </c>
      <c r="D41" s="4">
        <v>1</v>
      </c>
      <c r="E41" s="4">
        <v>226</v>
      </c>
      <c r="F41" s="4">
        <f>ROUND(Source!AW35,O41)</f>
        <v>162.63999999999999</v>
      </c>
      <c r="G41" s="4" t="s">
        <v>53</v>
      </c>
      <c r="H41" s="4" t="s">
        <v>54</v>
      </c>
      <c r="I41" s="4"/>
      <c r="J41" s="4"/>
      <c r="K41" s="4">
        <v>226</v>
      </c>
      <c r="L41" s="4">
        <v>5</v>
      </c>
      <c r="M41" s="4">
        <v>3</v>
      </c>
      <c r="N41" s="4" t="s">
        <v>3</v>
      </c>
      <c r="O41" s="4">
        <v>2</v>
      </c>
      <c r="P41" s="4"/>
      <c r="Q41" s="4"/>
      <c r="R41" s="4"/>
      <c r="S41" s="4"/>
      <c r="T41" s="4"/>
      <c r="U41" s="4"/>
      <c r="V41" s="4"/>
      <c r="W41" s="4"/>
    </row>
    <row r="42" spans="1:245" x14ac:dyDescent="0.2">
      <c r="A42" s="4">
        <v>50</v>
      </c>
      <c r="B42" s="4">
        <v>0</v>
      </c>
      <c r="C42" s="4">
        <v>0</v>
      </c>
      <c r="D42" s="4">
        <v>1</v>
      </c>
      <c r="E42" s="4">
        <v>227</v>
      </c>
      <c r="F42" s="4">
        <f>ROUND(Source!AX35,O42)</f>
        <v>0</v>
      </c>
      <c r="G42" s="4" t="s">
        <v>55</v>
      </c>
      <c r="H42" s="4" t="s">
        <v>56</v>
      </c>
      <c r="I42" s="4"/>
      <c r="J42" s="4"/>
      <c r="K42" s="4">
        <v>227</v>
      </c>
      <c r="L42" s="4">
        <v>6</v>
      </c>
      <c r="M42" s="4">
        <v>3</v>
      </c>
      <c r="N42" s="4" t="s">
        <v>3</v>
      </c>
      <c r="O42" s="4">
        <v>2</v>
      </c>
      <c r="P42" s="4"/>
      <c r="Q42" s="4"/>
      <c r="R42" s="4"/>
      <c r="S42" s="4"/>
      <c r="T42" s="4"/>
      <c r="U42" s="4"/>
      <c r="V42" s="4"/>
      <c r="W42" s="4"/>
    </row>
    <row r="43" spans="1:245" x14ac:dyDescent="0.2">
      <c r="A43" s="4">
        <v>50</v>
      </c>
      <c r="B43" s="4">
        <v>0</v>
      </c>
      <c r="C43" s="4">
        <v>0</v>
      </c>
      <c r="D43" s="4">
        <v>1</v>
      </c>
      <c r="E43" s="4">
        <v>228</v>
      </c>
      <c r="F43" s="4">
        <f>ROUND(Source!AY35,O43)</f>
        <v>162.63999999999999</v>
      </c>
      <c r="G43" s="4" t="s">
        <v>57</v>
      </c>
      <c r="H43" s="4" t="s">
        <v>58</v>
      </c>
      <c r="I43" s="4"/>
      <c r="J43" s="4"/>
      <c r="K43" s="4">
        <v>228</v>
      </c>
      <c r="L43" s="4">
        <v>7</v>
      </c>
      <c r="M43" s="4">
        <v>3</v>
      </c>
      <c r="N43" s="4" t="s">
        <v>3</v>
      </c>
      <c r="O43" s="4">
        <v>2</v>
      </c>
      <c r="P43" s="4"/>
      <c r="Q43" s="4"/>
      <c r="R43" s="4"/>
      <c r="S43" s="4"/>
      <c r="T43" s="4"/>
      <c r="U43" s="4"/>
      <c r="V43" s="4"/>
      <c r="W43" s="4"/>
    </row>
    <row r="44" spans="1:245" x14ac:dyDescent="0.2">
      <c r="A44" s="4">
        <v>50</v>
      </c>
      <c r="B44" s="4">
        <v>0</v>
      </c>
      <c r="C44" s="4">
        <v>0</v>
      </c>
      <c r="D44" s="4">
        <v>1</v>
      </c>
      <c r="E44" s="4">
        <v>216</v>
      </c>
      <c r="F44" s="4">
        <f>ROUND(Source!AP35,O44)</f>
        <v>0</v>
      </c>
      <c r="G44" s="4" t="s">
        <v>59</v>
      </c>
      <c r="H44" s="4" t="s">
        <v>60</v>
      </c>
      <c r="I44" s="4"/>
      <c r="J44" s="4"/>
      <c r="K44" s="4">
        <v>216</v>
      </c>
      <c r="L44" s="4">
        <v>8</v>
      </c>
      <c r="M44" s="4">
        <v>3</v>
      </c>
      <c r="N44" s="4" t="s">
        <v>3</v>
      </c>
      <c r="O44" s="4">
        <v>2</v>
      </c>
      <c r="P44" s="4"/>
      <c r="Q44" s="4"/>
      <c r="R44" s="4"/>
      <c r="S44" s="4"/>
      <c r="T44" s="4"/>
      <c r="U44" s="4"/>
      <c r="V44" s="4"/>
      <c r="W44" s="4"/>
    </row>
    <row r="45" spans="1:245" x14ac:dyDescent="0.2">
      <c r="A45" s="4">
        <v>50</v>
      </c>
      <c r="B45" s="4">
        <v>0</v>
      </c>
      <c r="C45" s="4">
        <v>0</v>
      </c>
      <c r="D45" s="4">
        <v>1</v>
      </c>
      <c r="E45" s="4">
        <v>223</v>
      </c>
      <c r="F45" s="4">
        <f>ROUND(Source!AQ35,O45)</f>
        <v>0</v>
      </c>
      <c r="G45" s="4" t="s">
        <v>61</v>
      </c>
      <c r="H45" s="4" t="s">
        <v>62</v>
      </c>
      <c r="I45" s="4"/>
      <c r="J45" s="4"/>
      <c r="K45" s="4">
        <v>223</v>
      </c>
      <c r="L45" s="4">
        <v>9</v>
      </c>
      <c r="M45" s="4">
        <v>3</v>
      </c>
      <c r="N45" s="4" t="s">
        <v>3</v>
      </c>
      <c r="O45" s="4">
        <v>2</v>
      </c>
      <c r="P45" s="4"/>
      <c r="Q45" s="4"/>
      <c r="R45" s="4"/>
      <c r="S45" s="4"/>
      <c r="T45" s="4"/>
      <c r="U45" s="4"/>
      <c r="V45" s="4"/>
      <c r="W45" s="4"/>
    </row>
    <row r="46" spans="1:245" x14ac:dyDescent="0.2">
      <c r="A46" s="4">
        <v>50</v>
      </c>
      <c r="B46" s="4">
        <v>0</v>
      </c>
      <c r="C46" s="4">
        <v>0</v>
      </c>
      <c r="D46" s="4">
        <v>1</v>
      </c>
      <c r="E46" s="4">
        <v>229</v>
      </c>
      <c r="F46" s="4">
        <f>ROUND(Source!AZ35,O46)</f>
        <v>0</v>
      </c>
      <c r="G46" s="4" t="s">
        <v>63</v>
      </c>
      <c r="H46" s="4" t="s">
        <v>64</v>
      </c>
      <c r="I46" s="4"/>
      <c r="J46" s="4"/>
      <c r="K46" s="4">
        <v>229</v>
      </c>
      <c r="L46" s="4">
        <v>10</v>
      </c>
      <c r="M46" s="4">
        <v>3</v>
      </c>
      <c r="N46" s="4" t="s">
        <v>3</v>
      </c>
      <c r="O46" s="4">
        <v>2</v>
      </c>
      <c r="P46" s="4"/>
      <c r="Q46" s="4"/>
      <c r="R46" s="4"/>
      <c r="S46" s="4"/>
      <c r="T46" s="4"/>
      <c r="U46" s="4"/>
      <c r="V46" s="4"/>
      <c r="W46" s="4"/>
    </row>
    <row r="47" spans="1:245" x14ac:dyDescent="0.2">
      <c r="A47" s="4">
        <v>50</v>
      </c>
      <c r="B47" s="4">
        <v>0</v>
      </c>
      <c r="C47" s="4">
        <v>0</v>
      </c>
      <c r="D47" s="4">
        <v>1</v>
      </c>
      <c r="E47" s="4">
        <v>203</v>
      </c>
      <c r="F47" s="4">
        <f>ROUND(Source!Q35,O47)</f>
        <v>2995699.86</v>
      </c>
      <c r="G47" s="4" t="s">
        <v>65</v>
      </c>
      <c r="H47" s="4" t="s">
        <v>66</v>
      </c>
      <c r="I47" s="4"/>
      <c r="J47" s="4"/>
      <c r="K47" s="4">
        <v>203</v>
      </c>
      <c r="L47" s="4">
        <v>11</v>
      </c>
      <c r="M47" s="4">
        <v>3</v>
      </c>
      <c r="N47" s="4" t="s">
        <v>3</v>
      </c>
      <c r="O47" s="4">
        <v>2</v>
      </c>
      <c r="P47" s="4"/>
      <c r="Q47" s="4"/>
      <c r="R47" s="4"/>
      <c r="S47" s="4"/>
      <c r="T47" s="4"/>
      <c r="U47" s="4"/>
      <c r="V47" s="4"/>
      <c r="W47" s="4"/>
    </row>
    <row r="48" spans="1:245" x14ac:dyDescent="0.2">
      <c r="A48" s="4">
        <v>50</v>
      </c>
      <c r="B48" s="4">
        <v>0</v>
      </c>
      <c r="C48" s="4">
        <v>0</v>
      </c>
      <c r="D48" s="4">
        <v>1</v>
      </c>
      <c r="E48" s="4">
        <v>231</v>
      </c>
      <c r="F48" s="4">
        <f>ROUND(Source!BB35,O48)</f>
        <v>0</v>
      </c>
      <c r="G48" s="4" t="s">
        <v>67</v>
      </c>
      <c r="H48" s="4" t="s">
        <v>68</v>
      </c>
      <c r="I48" s="4"/>
      <c r="J48" s="4"/>
      <c r="K48" s="4">
        <v>231</v>
      </c>
      <c r="L48" s="4">
        <v>12</v>
      </c>
      <c r="M48" s="4">
        <v>3</v>
      </c>
      <c r="N48" s="4" t="s">
        <v>3</v>
      </c>
      <c r="O48" s="4">
        <v>2</v>
      </c>
      <c r="P48" s="4"/>
      <c r="Q48" s="4"/>
      <c r="R48" s="4"/>
      <c r="S48" s="4"/>
      <c r="T48" s="4"/>
      <c r="U48" s="4"/>
      <c r="V48" s="4"/>
      <c r="W48" s="4"/>
    </row>
    <row r="49" spans="1:88" x14ac:dyDescent="0.2">
      <c r="A49" s="4">
        <v>50</v>
      </c>
      <c r="B49" s="4">
        <v>0</v>
      </c>
      <c r="C49" s="4">
        <v>0</v>
      </c>
      <c r="D49" s="4">
        <v>1</v>
      </c>
      <c r="E49" s="4">
        <v>204</v>
      </c>
      <c r="F49" s="4">
        <f>ROUND(Source!R35,O49)</f>
        <v>1272093.51</v>
      </c>
      <c r="G49" s="4" t="s">
        <v>69</v>
      </c>
      <c r="H49" s="4" t="s">
        <v>70</v>
      </c>
      <c r="I49" s="4"/>
      <c r="J49" s="4"/>
      <c r="K49" s="4">
        <v>204</v>
      </c>
      <c r="L49" s="4">
        <v>13</v>
      </c>
      <c r="M49" s="4">
        <v>3</v>
      </c>
      <c r="N49" s="4" t="s">
        <v>3</v>
      </c>
      <c r="O49" s="4">
        <v>2</v>
      </c>
      <c r="P49" s="4"/>
      <c r="Q49" s="4"/>
      <c r="R49" s="4"/>
      <c r="S49" s="4"/>
      <c r="T49" s="4"/>
      <c r="U49" s="4"/>
      <c r="V49" s="4"/>
      <c r="W49" s="4"/>
    </row>
    <row r="50" spans="1:88" x14ac:dyDescent="0.2">
      <c r="A50" s="4">
        <v>50</v>
      </c>
      <c r="B50" s="4">
        <v>0</v>
      </c>
      <c r="C50" s="4">
        <v>0</v>
      </c>
      <c r="D50" s="4">
        <v>1</v>
      </c>
      <c r="E50" s="4">
        <v>205</v>
      </c>
      <c r="F50" s="4">
        <f>ROUND(Source!S35,O50)</f>
        <v>789759.56</v>
      </c>
      <c r="G50" s="4" t="s">
        <v>71</v>
      </c>
      <c r="H50" s="4" t="s">
        <v>72</v>
      </c>
      <c r="I50" s="4"/>
      <c r="J50" s="4"/>
      <c r="K50" s="4">
        <v>205</v>
      </c>
      <c r="L50" s="4">
        <v>14</v>
      </c>
      <c r="M50" s="4">
        <v>3</v>
      </c>
      <c r="N50" s="4" t="s">
        <v>3</v>
      </c>
      <c r="O50" s="4">
        <v>2</v>
      </c>
      <c r="P50" s="4"/>
      <c r="Q50" s="4"/>
      <c r="R50" s="4"/>
      <c r="S50" s="4"/>
      <c r="T50" s="4"/>
      <c r="U50" s="4"/>
      <c r="V50" s="4"/>
      <c r="W50" s="4"/>
    </row>
    <row r="51" spans="1:88" x14ac:dyDescent="0.2">
      <c r="A51" s="4">
        <v>50</v>
      </c>
      <c r="B51" s="4">
        <v>0</v>
      </c>
      <c r="C51" s="4">
        <v>0</v>
      </c>
      <c r="D51" s="4">
        <v>1</v>
      </c>
      <c r="E51" s="4">
        <v>232</v>
      </c>
      <c r="F51" s="4">
        <f>ROUND(Source!BC35,O51)</f>
        <v>0</v>
      </c>
      <c r="G51" s="4" t="s">
        <v>73</v>
      </c>
      <c r="H51" s="4" t="s">
        <v>74</v>
      </c>
      <c r="I51" s="4"/>
      <c r="J51" s="4"/>
      <c r="K51" s="4">
        <v>232</v>
      </c>
      <c r="L51" s="4">
        <v>15</v>
      </c>
      <c r="M51" s="4">
        <v>3</v>
      </c>
      <c r="N51" s="4" t="s">
        <v>3</v>
      </c>
      <c r="O51" s="4">
        <v>2</v>
      </c>
      <c r="P51" s="4"/>
      <c r="Q51" s="4"/>
      <c r="R51" s="4"/>
      <c r="S51" s="4"/>
      <c r="T51" s="4"/>
      <c r="U51" s="4"/>
      <c r="V51" s="4"/>
      <c r="W51" s="4"/>
    </row>
    <row r="52" spans="1:88" x14ac:dyDescent="0.2">
      <c r="A52" s="4">
        <v>50</v>
      </c>
      <c r="B52" s="4">
        <v>0</v>
      </c>
      <c r="C52" s="4">
        <v>0</v>
      </c>
      <c r="D52" s="4">
        <v>1</v>
      </c>
      <c r="E52" s="4">
        <v>214</v>
      </c>
      <c r="F52" s="4">
        <f>ROUND(Source!AS35,O52)</f>
        <v>0</v>
      </c>
      <c r="G52" s="4" t="s">
        <v>75</v>
      </c>
      <c r="H52" s="4" t="s">
        <v>76</v>
      </c>
      <c r="I52" s="4"/>
      <c r="J52" s="4"/>
      <c r="K52" s="4">
        <v>214</v>
      </c>
      <c r="L52" s="4">
        <v>16</v>
      </c>
      <c r="M52" s="4">
        <v>3</v>
      </c>
      <c r="N52" s="4" t="s">
        <v>3</v>
      </c>
      <c r="O52" s="4">
        <v>2</v>
      </c>
      <c r="P52" s="4"/>
      <c r="Q52" s="4"/>
      <c r="R52" s="4"/>
      <c r="S52" s="4"/>
      <c r="T52" s="4"/>
      <c r="U52" s="4"/>
      <c r="V52" s="4"/>
      <c r="W52" s="4"/>
    </row>
    <row r="53" spans="1:88" x14ac:dyDescent="0.2">
      <c r="A53" s="4">
        <v>50</v>
      </c>
      <c r="B53" s="4">
        <v>0</v>
      </c>
      <c r="C53" s="4">
        <v>0</v>
      </c>
      <c r="D53" s="4">
        <v>1</v>
      </c>
      <c r="E53" s="4">
        <v>215</v>
      </c>
      <c r="F53" s="4">
        <f>ROUND(Source!AT35,O53)</f>
        <v>0</v>
      </c>
      <c r="G53" s="4" t="s">
        <v>77</v>
      </c>
      <c r="H53" s="4" t="s">
        <v>78</v>
      </c>
      <c r="I53" s="4"/>
      <c r="J53" s="4"/>
      <c r="K53" s="4">
        <v>215</v>
      </c>
      <c r="L53" s="4">
        <v>17</v>
      </c>
      <c r="M53" s="4">
        <v>3</v>
      </c>
      <c r="N53" s="4" t="s">
        <v>3</v>
      </c>
      <c r="O53" s="4">
        <v>2</v>
      </c>
      <c r="P53" s="4"/>
      <c r="Q53" s="4"/>
      <c r="R53" s="4"/>
      <c r="S53" s="4"/>
      <c r="T53" s="4"/>
      <c r="U53" s="4"/>
      <c r="V53" s="4"/>
      <c r="W53" s="4"/>
    </row>
    <row r="54" spans="1:88" x14ac:dyDescent="0.2">
      <c r="A54" s="4">
        <v>50</v>
      </c>
      <c r="B54" s="4">
        <v>0</v>
      </c>
      <c r="C54" s="4">
        <v>0</v>
      </c>
      <c r="D54" s="4">
        <v>1</v>
      </c>
      <c r="E54" s="4">
        <v>217</v>
      </c>
      <c r="F54" s="4">
        <f>ROUND(Source!AU35,O54)</f>
        <v>5791290.6900000004</v>
      </c>
      <c r="G54" s="4" t="s">
        <v>79</v>
      </c>
      <c r="H54" s="4" t="s">
        <v>80</v>
      </c>
      <c r="I54" s="4"/>
      <c r="J54" s="4"/>
      <c r="K54" s="4">
        <v>217</v>
      </c>
      <c r="L54" s="4">
        <v>18</v>
      </c>
      <c r="M54" s="4">
        <v>3</v>
      </c>
      <c r="N54" s="4" t="s">
        <v>3</v>
      </c>
      <c r="O54" s="4">
        <v>2</v>
      </c>
      <c r="P54" s="4"/>
      <c r="Q54" s="4"/>
      <c r="R54" s="4"/>
      <c r="S54" s="4"/>
      <c r="T54" s="4"/>
      <c r="U54" s="4"/>
      <c r="V54" s="4"/>
      <c r="W54" s="4"/>
    </row>
    <row r="55" spans="1:88" x14ac:dyDescent="0.2">
      <c r="A55" s="4">
        <v>50</v>
      </c>
      <c r="B55" s="4">
        <v>0</v>
      </c>
      <c r="C55" s="4">
        <v>0</v>
      </c>
      <c r="D55" s="4">
        <v>1</v>
      </c>
      <c r="E55" s="4">
        <v>230</v>
      </c>
      <c r="F55" s="4">
        <f>ROUND(Source!BA35,O55)</f>
        <v>0</v>
      </c>
      <c r="G55" s="4" t="s">
        <v>81</v>
      </c>
      <c r="H55" s="4" t="s">
        <v>82</v>
      </c>
      <c r="I55" s="4"/>
      <c r="J55" s="4"/>
      <c r="K55" s="4">
        <v>230</v>
      </c>
      <c r="L55" s="4">
        <v>19</v>
      </c>
      <c r="M55" s="4">
        <v>3</v>
      </c>
      <c r="N55" s="4" t="s">
        <v>3</v>
      </c>
      <c r="O55" s="4">
        <v>2</v>
      </c>
      <c r="P55" s="4"/>
      <c r="Q55" s="4"/>
      <c r="R55" s="4"/>
      <c r="S55" s="4"/>
      <c r="T55" s="4"/>
      <c r="U55" s="4"/>
      <c r="V55" s="4"/>
      <c r="W55" s="4"/>
    </row>
    <row r="56" spans="1:88" x14ac:dyDescent="0.2">
      <c r="A56" s="4">
        <v>50</v>
      </c>
      <c r="B56" s="4">
        <v>0</v>
      </c>
      <c r="C56" s="4">
        <v>0</v>
      </c>
      <c r="D56" s="4">
        <v>1</v>
      </c>
      <c r="E56" s="4">
        <v>206</v>
      </c>
      <c r="F56" s="4">
        <f>ROUND(Source!T35,O56)</f>
        <v>0</v>
      </c>
      <c r="G56" s="4" t="s">
        <v>83</v>
      </c>
      <c r="H56" s="4" t="s">
        <v>84</v>
      </c>
      <c r="I56" s="4"/>
      <c r="J56" s="4"/>
      <c r="K56" s="4">
        <v>206</v>
      </c>
      <c r="L56" s="4">
        <v>20</v>
      </c>
      <c r="M56" s="4">
        <v>3</v>
      </c>
      <c r="N56" s="4" t="s">
        <v>3</v>
      </c>
      <c r="O56" s="4">
        <v>2</v>
      </c>
      <c r="P56" s="4"/>
      <c r="Q56" s="4"/>
      <c r="R56" s="4"/>
      <c r="S56" s="4"/>
      <c r="T56" s="4"/>
      <c r="U56" s="4"/>
      <c r="V56" s="4"/>
      <c r="W56" s="4"/>
    </row>
    <row r="57" spans="1:88" x14ac:dyDescent="0.2">
      <c r="A57" s="4">
        <v>50</v>
      </c>
      <c r="B57" s="4">
        <v>0</v>
      </c>
      <c r="C57" s="4">
        <v>0</v>
      </c>
      <c r="D57" s="4">
        <v>1</v>
      </c>
      <c r="E57" s="4">
        <v>207</v>
      </c>
      <c r="F57" s="4">
        <f>Source!U35</f>
        <v>3535.2357199999997</v>
      </c>
      <c r="G57" s="4" t="s">
        <v>85</v>
      </c>
      <c r="H57" s="4" t="s">
        <v>86</v>
      </c>
      <c r="I57" s="4"/>
      <c r="J57" s="4"/>
      <c r="K57" s="4">
        <v>207</v>
      </c>
      <c r="L57" s="4">
        <v>21</v>
      </c>
      <c r="M57" s="4">
        <v>3</v>
      </c>
      <c r="N57" s="4" t="s">
        <v>3</v>
      </c>
      <c r="O57" s="4">
        <v>-1</v>
      </c>
      <c r="P57" s="4"/>
      <c r="Q57" s="4"/>
      <c r="R57" s="4"/>
      <c r="S57" s="4"/>
      <c r="T57" s="4"/>
      <c r="U57" s="4"/>
      <c r="V57" s="4"/>
      <c r="W57" s="4"/>
    </row>
    <row r="58" spans="1:88" x14ac:dyDescent="0.2">
      <c r="A58" s="4">
        <v>50</v>
      </c>
      <c r="B58" s="4">
        <v>0</v>
      </c>
      <c r="C58" s="4">
        <v>0</v>
      </c>
      <c r="D58" s="4">
        <v>1</v>
      </c>
      <c r="E58" s="4">
        <v>208</v>
      </c>
      <c r="F58" s="4">
        <f>Source!V35</f>
        <v>0</v>
      </c>
      <c r="G58" s="4" t="s">
        <v>87</v>
      </c>
      <c r="H58" s="4" t="s">
        <v>88</v>
      </c>
      <c r="I58" s="4"/>
      <c r="J58" s="4"/>
      <c r="K58" s="4">
        <v>208</v>
      </c>
      <c r="L58" s="4">
        <v>22</v>
      </c>
      <c r="M58" s="4">
        <v>3</v>
      </c>
      <c r="N58" s="4" t="s">
        <v>3</v>
      </c>
      <c r="O58" s="4">
        <v>-1</v>
      </c>
      <c r="P58" s="4"/>
      <c r="Q58" s="4"/>
      <c r="R58" s="4"/>
      <c r="S58" s="4"/>
      <c r="T58" s="4"/>
      <c r="U58" s="4"/>
      <c r="V58" s="4"/>
      <c r="W58" s="4"/>
    </row>
    <row r="59" spans="1:88" x14ac:dyDescent="0.2">
      <c r="A59" s="4">
        <v>50</v>
      </c>
      <c r="B59" s="4">
        <v>0</v>
      </c>
      <c r="C59" s="4">
        <v>0</v>
      </c>
      <c r="D59" s="4">
        <v>1</v>
      </c>
      <c r="E59" s="4">
        <v>209</v>
      </c>
      <c r="F59" s="4">
        <f>ROUND(Source!W35,O59)</f>
        <v>0</v>
      </c>
      <c r="G59" s="4" t="s">
        <v>89</v>
      </c>
      <c r="H59" s="4" t="s">
        <v>90</v>
      </c>
      <c r="I59" s="4"/>
      <c r="J59" s="4"/>
      <c r="K59" s="4">
        <v>209</v>
      </c>
      <c r="L59" s="4">
        <v>23</v>
      </c>
      <c r="M59" s="4">
        <v>3</v>
      </c>
      <c r="N59" s="4" t="s">
        <v>3</v>
      </c>
      <c r="O59" s="4">
        <v>2</v>
      </c>
      <c r="P59" s="4"/>
      <c r="Q59" s="4"/>
      <c r="R59" s="4"/>
      <c r="S59" s="4"/>
      <c r="T59" s="4"/>
      <c r="U59" s="4"/>
      <c r="V59" s="4"/>
      <c r="W59" s="4"/>
    </row>
    <row r="60" spans="1:88" x14ac:dyDescent="0.2">
      <c r="A60" s="4">
        <v>50</v>
      </c>
      <c r="B60" s="4">
        <v>0</v>
      </c>
      <c r="C60" s="4">
        <v>0</v>
      </c>
      <c r="D60" s="4">
        <v>1</v>
      </c>
      <c r="E60" s="4">
        <v>210</v>
      </c>
      <c r="F60" s="4">
        <f>ROUND(Source!X35,O60)</f>
        <v>552831.68999999994</v>
      </c>
      <c r="G60" s="4" t="s">
        <v>91</v>
      </c>
      <c r="H60" s="4" t="s">
        <v>92</v>
      </c>
      <c r="I60" s="4"/>
      <c r="J60" s="4"/>
      <c r="K60" s="4">
        <v>210</v>
      </c>
      <c r="L60" s="4">
        <v>24</v>
      </c>
      <c r="M60" s="4">
        <v>3</v>
      </c>
      <c r="N60" s="4" t="s">
        <v>3</v>
      </c>
      <c r="O60" s="4">
        <v>2</v>
      </c>
      <c r="P60" s="4"/>
      <c r="Q60" s="4"/>
      <c r="R60" s="4"/>
      <c r="S60" s="4"/>
      <c r="T60" s="4"/>
      <c r="U60" s="4"/>
      <c r="V60" s="4"/>
      <c r="W60" s="4"/>
    </row>
    <row r="61" spans="1:88" x14ac:dyDescent="0.2">
      <c r="A61" s="4">
        <v>50</v>
      </c>
      <c r="B61" s="4">
        <v>0</v>
      </c>
      <c r="C61" s="4">
        <v>0</v>
      </c>
      <c r="D61" s="4">
        <v>1</v>
      </c>
      <c r="E61" s="4">
        <v>211</v>
      </c>
      <c r="F61" s="4">
        <f>ROUND(Source!Y35,O61)</f>
        <v>78975.95</v>
      </c>
      <c r="G61" s="4" t="s">
        <v>93</v>
      </c>
      <c r="H61" s="4" t="s">
        <v>94</v>
      </c>
      <c r="I61" s="4"/>
      <c r="J61" s="4"/>
      <c r="K61" s="4">
        <v>211</v>
      </c>
      <c r="L61" s="4">
        <v>25</v>
      </c>
      <c r="M61" s="4">
        <v>3</v>
      </c>
      <c r="N61" s="4" t="s">
        <v>3</v>
      </c>
      <c r="O61" s="4">
        <v>2</v>
      </c>
      <c r="P61" s="4"/>
      <c r="Q61" s="4"/>
      <c r="R61" s="4"/>
      <c r="S61" s="4"/>
      <c r="T61" s="4"/>
      <c r="U61" s="4"/>
      <c r="V61" s="4"/>
      <c r="W61" s="4"/>
    </row>
    <row r="62" spans="1:88" x14ac:dyDescent="0.2">
      <c r="A62" s="4">
        <v>50</v>
      </c>
      <c r="B62" s="4">
        <v>0</v>
      </c>
      <c r="C62" s="4">
        <v>0</v>
      </c>
      <c r="D62" s="4">
        <v>1</v>
      </c>
      <c r="E62" s="4">
        <v>224</v>
      </c>
      <c r="F62" s="4">
        <f>ROUND(Source!AR35,O62)</f>
        <v>5791290.6900000004</v>
      </c>
      <c r="G62" s="4" t="s">
        <v>95</v>
      </c>
      <c r="H62" s="4" t="s">
        <v>96</v>
      </c>
      <c r="I62" s="4"/>
      <c r="J62" s="4"/>
      <c r="K62" s="4">
        <v>224</v>
      </c>
      <c r="L62" s="4">
        <v>26</v>
      </c>
      <c r="M62" s="4">
        <v>3</v>
      </c>
      <c r="N62" s="4" t="s">
        <v>3</v>
      </c>
      <c r="O62" s="4">
        <v>2</v>
      </c>
      <c r="P62" s="4"/>
      <c r="Q62" s="4"/>
      <c r="R62" s="4"/>
      <c r="S62" s="4"/>
      <c r="T62" s="4"/>
      <c r="U62" s="4"/>
      <c r="V62" s="4"/>
      <c r="W62" s="4"/>
    </row>
    <row r="64" spans="1:88" x14ac:dyDescent="0.2">
      <c r="A64" s="1">
        <v>4</v>
      </c>
      <c r="B64" s="1">
        <v>1</v>
      </c>
      <c r="C64" s="1"/>
      <c r="D64" s="1">
        <f>ROW(A82)</f>
        <v>82</v>
      </c>
      <c r="E64" s="1"/>
      <c r="F64" s="1" t="s">
        <v>12</v>
      </c>
      <c r="G64" s="1" t="s">
        <v>97</v>
      </c>
      <c r="H64" s="1" t="s">
        <v>3</v>
      </c>
      <c r="I64" s="1">
        <v>0</v>
      </c>
      <c r="J64" s="1"/>
      <c r="K64" s="1">
        <v>0</v>
      </c>
      <c r="L64" s="1"/>
      <c r="M64" s="1"/>
      <c r="N64" s="1"/>
      <c r="O64" s="1"/>
      <c r="P64" s="1"/>
      <c r="Q64" s="1"/>
      <c r="R64" s="1"/>
      <c r="S64" s="1"/>
      <c r="T64" s="1"/>
      <c r="U64" s="1" t="s">
        <v>3</v>
      </c>
      <c r="V64" s="1">
        <v>0</v>
      </c>
      <c r="W64" s="1"/>
      <c r="X64" s="1"/>
      <c r="Y64" s="1"/>
      <c r="Z64" s="1"/>
      <c r="AA64" s="1"/>
      <c r="AB64" s="1" t="s">
        <v>3</v>
      </c>
      <c r="AC64" s="1" t="s">
        <v>3</v>
      </c>
      <c r="AD64" s="1" t="s">
        <v>3</v>
      </c>
      <c r="AE64" s="1" t="s">
        <v>3</v>
      </c>
      <c r="AF64" s="1" t="s">
        <v>3</v>
      </c>
      <c r="AG64" s="1" t="s">
        <v>3</v>
      </c>
      <c r="AH64" s="1"/>
      <c r="AI64" s="1"/>
      <c r="AJ64" s="1"/>
      <c r="AK64" s="1"/>
      <c r="AL64" s="1"/>
      <c r="AM64" s="1"/>
      <c r="AN64" s="1"/>
      <c r="AO64" s="1"/>
      <c r="AP64" s="1" t="s">
        <v>3</v>
      </c>
      <c r="AQ64" s="1" t="s">
        <v>3</v>
      </c>
      <c r="AR64" s="1" t="s">
        <v>3</v>
      </c>
      <c r="AS64" s="1"/>
      <c r="AT64" s="1"/>
      <c r="AU64" s="1"/>
      <c r="AV64" s="1"/>
      <c r="AW64" s="1"/>
      <c r="AX64" s="1"/>
      <c r="AY64" s="1"/>
      <c r="AZ64" s="1" t="s">
        <v>3</v>
      </c>
      <c r="BA64" s="1"/>
      <c r="BB64" s="1" t="s">
        <v>3</v>
      </c>
      <c r="BC64" s="1" t="s">
        <v>3</v>
      </c>
      <c r="BD64" s="1" t="s">
        <v>3</v>
      </c>
      <c r="BE64" s="1" t="s">
        <v>3</v>
      </c>
      <c r="BF64" s="1" t="s">
        <v>3</v>
      </c>
      <c r="BG64" s="1" t="s">
        <v>3</v>
      </c>
      <c r="BH64" s="1" t="s">
        <v>3</v>
      </c>
      <c r="BI64" s="1" t="s">
        <v>3</v>
      </c>
      <c r="BJ64" s="1" t="s">
        <v>3</v>
      </c>
      <c r="BK64" s="1" t="s">
        <v>3</v>
      </c>
      <c r="BL64" s="1" t="s">
        <v>3</v>
      </c>
      <c r="BM64" s="1" t="s">
        <v>3</v>
      </c>
      <c r="BN64" s="1" t="s">
        <v>3</v>
      </c>
      <c r="BO64" s="1" t="s">
        <v>3</v>
      </c>
      <c r="BP64" s="1" t="s">
        <v>3</v>
      </c>
      <c r="BQ64" s="1"/>
      <c r="BR64" s="1"/>
      <c r="BS64" s="1"/>
      <c r="BT64" s="1"/>
      <c r="BU64" s="1"/>
      <c r="BV64" s="1"/>
      <c r="BW64" s="1"/>
      <c r="BX64" s="1">
        <v>0</v>
      </c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>
        <v>0</v>
      </c>
    </row>
    <row r="66" spans="1:245" x14ac:dyDescent="0.2">
      <c r="A66" s="2">
        <v>52</v>
      </c>
      <c r="B66" s="2">
        <f t="shared" ref="B66:G66" si="54">B82</f>
        <v>1</v>
      </c>
      <c r="C66" s="2">
        <f t="shared" si="54"/>
        <v>4</v>
      </c>
      <c r="D66" s="2">
        <f t="shared" si="54"/>
        <v>64</v>
      </c>
      <c r="E66" s="2">
        <f t="shared" si="54"/>
        <v>0</v>
      </c>
      <c r="F66" s="2" t="str">
        <f t="shared" si="54"/>
        <v>Новый раздел</v>
      </c>
      <c r="G66" s="2" t="str">
        <f t="shared" si="54"/>
        <v>Техническое обслуживание</v>
      </c>
      <c r="H66" s="2"/>
      <c r="I66" s="2"/>
      <c r="J66" s="2"/>
      <c r="K66" s="2"/>
      <c r="L66" s="2"/>
      <c r="M66" s="2"/>
      <c r="N66" s="2"/>
      <c r="O66" s="2">
        <f t="shared" ref="O66:AT66" si="55">O82</f>
        <v>3192738.52</v>
      </c>
      <c r="P66" s="2">
        <f t="shared" si="55"/>
        <v>4329.07</v>
      </c>
      <c r="Q66" s="2">
        <f t="shared" si="55"/>
        <v>2374180.81</v>
      </c>
      <c r="R66" s="2">
        <f t="shared" si="55"/>
        <v>992047.12</v>
      </c>
      <c r="S66" s="2">
        <f t="shared" si="55"/>
        <v>814228.64</v>
      </c>
      <c r="T66" s="2">
        <f t="shared" si="55"/>
        <v>0</v>
      </c>
      <c r="U66" s="2">
        <f t="shared" si="55"/>
        <v>2893.6261360000003</v>
      </c>
      <c r="V66" s="2">
        <f t="shared" si="55"/>
        <v>0</v>
      </c>
      <c r="W66" s="2">
        <f t="shared" si="55"/>
        <v>0</v>
      </c>
      <c r="X66" s="2">
        <f t="shared" si="55"/>
        <v>569960.03</v>
      </c>
      <c r="Y66" s="2">
        <f t="shared" si="55"/>
        <v>81422.86</v>
      </c>
      <c r="Z66" s="2">
        <f t="shared" si="55"/>
        <v>0</v>
      </c>
      <c r="AA66" s="2">
        <f t="shared" si="55"/>
        <v>0</v>
      </c>
      <c r="AB66" s="2">
        <f t="shared" si="55"/>
        <v>3192738.52</v>
      </c>
      <c r="AC66" s="2">
        <f t="shared" si="55"/>
        <v>4329.07</v>
      </c>
      <c r="AD66" s="2">
        <f t="shared" si="55"/>
        <v>2374180.81</v>
      </c>
      <c r="AE66" s="2">
        <f t="shared" si="55"/>
        <v>992047.12</v>
      </c>
      <c r="AF66" s="2">
        <f t="shared" si="55"/>
        <v>814228.64</v>
      </c>
      <c r="AG66" s="2">
        <f t="shared" si="55"/>
        <v>0</v>
      </c>
      <c r="AH66" s="2">
        <f t="shared" si="55"/>
        <v>2893.6261360000003</v>
      </c>
      <c r="AI66" s="2">
        <f t="shared" si="55"/>
        <v>0</v>
      </c>
      <c r="AJ66" s="2">
        <f t="shared" si="55"/>
        <v>0</v>
      </c>
      <c r="AK66" s="2">
        <f t="shared" si="55"/>
        <v>569960.03</v>
      </c>
      <c r="AL66" s="2">
        <f t="shared" si="55"/>
        <v>81422.86</v>
      </c>
      <c r="AM66" s="2">
        <f t="shared" si="55"/>
        <v>0</v>
      </c>
      <c r="AN66" s="2">
        <f t="shared" si="55"/>
        <v>0</v>
      </c>
      <c r="AO66" s="2">
        <f t="shared" si="55"/>
        <v>0</v>
      </c>
      <c r="AP66" s="2">
        <f t="shared" si="55"/>
        <v>0</v>
      </c>
      <c r="AQ66" s="2">
        <f t="shared" si="55"/>
        <v>0</v>
      </c>
      <c r="AR66" s="2">
        <f t="shared" si="55"/>
        <v>4915532.29</v>
      </c>
      <c r="AS66" s="2">
        <f t="shared" si="55"/>
        <v>0</v>
      </c>
      <c r="AT66" s="2">
        <f t="shared" si="55"/>
        <v>0</v>
      </c>
      <c r="AU66" s="2">
        <f t="shared" ref="AU66:BZ66" si="56">AU82</f>
        <v>4915532.29</v>
      </c>
      <c r="AV66" s="2">
        <f t="shared" si="56"/>
        <v>4329.07</v>
      </c>
      <c r="AW66" s="2">
        <f t="shared" si="56"/>
        <v>4329.07</v>
      </c>
      <c r="AX66" s="2">
        <f t="shared" si="56"/>
        <v>0</v>
      </c>
      <c r="AY66" s="2">
        <f t="shared" si="56"/>
        <v>4329.07</v>
      </c>
      <c r="AZ66" s="2">
        <f t="shared" si="56"/>
        <v>0</v>
      </c>
      <c r="BA66" s="2">
        <f t="shared" si="56"/>
        <v>0</v>
      </c>
      <c r="BB66" s="2">
        <f t="shared" si="56"/>
        <v>0</v>
      </c>
      <c r="BC66" s="2">
        <f t="shared" si="56"/>
        <v>0</v>
      </c>
      <c r="BD66" s="2">
        <f t="shared" si="56"/>
        <v>0</v>
      </c>
      <c r="BE66" s="2">
        <f t="shared" si="56"/>
        <v>0</v>
      </c>
      <c r="BF66" s="2">
        <f t="shared" si="56"/>
        <v>0</v>
      </c>
      <c r="BG66" s="2">
        <f t="shared" si="56"/>
        <v>0</v>
      </c>
      <c r="BH66" s="2">
        <f t="shared" si="56"/>
        <v>0</v>
      </c>
      <c r="BI66" s="2">
        <f t="shared" si="56"/>
        <v>0</v>
      </c>
      <c r="BJ66" s="2">
        <f t="shared" si="56"/>
        <v>0</v>
      </c>
      <c r="BK66" s="2">
        <f t="shared" si="56"/>
        <v>0</v>
      </c>
      <c r="BL66" s="2">
        <f t="shared" si="56"/>
        <v>0</v>
      </c>
      <c r="BM66" s="2">
        <f t="shared" si="56"/>
        <v>0</v>
      </c>
      <c r="BN66" s="2">
        <f t="shared" si="56"/>
        <v>0</v>
      </c>
      <c r="BO66" s="2">
        <f t="shared" si="56"/>
        <v>0</v>
      </c>
      <c r="BP66" s="2">
        <f t="shared" si="56"/>
        <v>0</v>
      </c>
      <c r="BQ66" s="2">
        <f t="shared" si="56"/>
        <v>0</v>
      </c>
      <c r="BR66" s="2">
        <f t="shared" si="56"/>
        <v>0</v>
      </c>
      <c r="BS66" s="2">
        <f t="shared" si="56"/>
        <v>0</v>
      </c>
      <c r="BT66" s="2">
        <f t="shared" si="56"/>
        <v>0</v>
      </c>
      <c r="BU66" s="2">
        <f t="shared" si="56"/>
        <v>0</v>
      </c>
      <c r="BV66" s="2">
        <f t="shared" si="56"/>
        <v>0</v>
      </c>
      <c r="BW66" s="2">
        <f t="shared" si="56"/>
        <v>0</v>
      </c>
      <c r="BX66" s="2">
        <f t="shared" si="56"/>
        <v>0</v>
      </c>
      <c r="BY66" s="2">
        <f t="shared" si="56"/>
        <v>0</v>
      </c>
      <c r="BZ66" s="2">
        <f t="shared" si="56"/>
        <v>0</v>
      </c>
      <c r="CA66" s="2">
        <f t="shared" ref="CA66:DF66" si="57">CA82</f>
        <v>4915532.29</v>
      </c>
      <c r="CB66" s="2">
        <f t="shared" si="57"/>
        <v>0</v>
      </c>
      <c r="CC66" s="2">
        <f t="shared" si="57"/>
        <v>0</v>
      </c>
      <c r="CD66" s="2">
        <f t="shared" si="57"/>
        <v>4915532.29</v>
      </c>
      <c r="CE66" s="2">
        <f t="shared" si="57"/>
        <v>4329.07</v>
      </c>
      <c r="CF66" s="2">
        <f t="shared" si="57"/>
        <v>4329.07</v>
      </c>
      <c r="CG66" s="2">
        <f t="shared" si="57"/>
        <v>0</v>
      </c>
      <c r="CH66" s="2">
        <f t="shared" si="57"/>
        <v>4329.07</v>
      </c>
      <c r="CI66" s="2">
        <f t="shared" si="57"/>
        <v>0</v>
      </c>
      <c r="CJ66" s="2">
        <f t="shared" si="57"/>
        <v>0</v>
      </c>
      <c r="CK66" s="2">
        <f t="shared" si="57"/>
        <v>0</v>
      </c>
      <c r="CL66" s="2">
        <f t="shared" si="57"/>
        <v>0</v>
      </c>
      <c r="CM66" s="2">
        <f t="shared" si="57"/>
        <v>0</v>
      </c>
      <c r="CN66" s="2">
        <f t="shared" si="57"/>
        <v>0</v>
      </c>
      <c r="CO66" s="2">
        <f t="shared" si="57"/>
        <v>0</v>
      </c>
      <c r="CP66" s="2">
        <f t="shared" si="57"/>
        <v>0</v>
      </c>
      <c r="CQ66" s="2">
        <f t="shared" si="57"/>
        <v>0</v>
      </c>
      <c r="CR66" s="2">
        <f t="shared" si="57"/>
        <v>0</v>
      </c>
      <c r="CS66" s="2">
        <f t="shared" si="57"/>
        <v>0</v>
      </c>
      <c r="CT66" s="2">
        <f t="shared" si="57"/>
        <v>0</v>
      </c>
      <c r="CU66" s="2">
        <f t="shared" si="57"/>
        <v>0</v>
      </c>
      <c r="CV66" s="2">
        <f t="shared" si="57"/>
        <v>0</v>
      </c>
      <c r="CW66" s="2">
        <f t="shared" si="57"/>
        <v>0</v>
      </c>
      <c r="CX66" s="2">
        <f t="shared" si="57"/>
        <v>0</v>
      </c>
      <c r="CY66" s="2">
        <f t="shared" si="57"/>
        <v>0</v>
      </c>
      <c r="CZ66" s="2">
        <f t="shared" si="57"/>
        <v>0</v>
      </c>
      <c r="DA66" s="2">
        <f t="shared" si="57"/>
        <v>0</v>
      </c>
      <c r="DB66" s="2">
        <f t="shared" si="57"/>
        <v>0</v>
      </c>
      <c r="DC66" s="2">
        <f t="shared" si="57"/>
        <v>0</v>
      </c>
      <c r="DD66" s="2">
        <f t="shared" si="57"/>
        <v>0</v>
      </c>
      <c r="DE66" s="2">
        <f t="shared" si="57"/>
        <v>0</v>
      </c>
      <c r="DF66" s="2">
        <f t="shared" si="57"/>
        <v>0</v>
      </c>
      <c r="DG66" s="3">
        <f t="shared" ref="DG66:EL66" si="58">DG82</f>
        <v>0</v>
      </c>
      <c r="DH66" s="3">
        <f t="shared" si="58"/>
        <v>0</v>
      </c>
      <c r="DI66" s="3">
        <f t="shared" si="58"/>
        <v>0</v>
      </c>
      <c r="DJ66" s="3">
        <f t="shared" si="58"/>
        <v>0</v>
      </c>
      <c r="DK66" s="3">
        <f t="shared" si="58"/>
        <v>0</v>
      </c>
      <c r="DL66" s="3">
        <f t="shared" si="58"/>
        <v>0</v>
      </c>
      <c r="DM66" s="3">
        <f t="shared" si="58"/>
        <v>0</v>
      </c>
      <c r="DN66" s="3">
        <f t="shared" si="58"/>
        <v>0</v>
      </c>
      <c r="DO66" s="3">
        <f t="shared" si="58"/>
        <v>0</v>
      </c>
      <c r="DP66" s="3">
        <f t="shared" si="58"/>
        <v>0</v>
      </c>
      <c r="DQ66" s="3">
        <f t="shared" si="58"/>
        <v>0</v>
      </c>
      <c r="DR66" s="3">
        <f t="shared" si="58"/>
        <v>0</v>
      </c>
      <c r="DS66" s="3">
        <f t="shared" si="58"/>
        <v>0</v>
      </c>
      <c r="DT66" s="3">
        <f t="shared" si="58"/>
        <v>0</v>
      </c>
      <c r="DU66" s="3">
        <f t="shared" si="58"/>
        <v>0</v>
      </c>
      <c r="DV66" s="3">
        <f t="shared" si="58"/>
        <v>0</v>
      </c>
      <c r="DW66" s="3">
        <f t="shared" si="58"/>
        <v>0</v>
      </c>
      <c r="DX66" s="3">
        <f t="shared" si="58"/>
        <v>0</v>
      </c>
      <c r="DY66" s="3">
        <f t="shared" si="58"/>
        <v>0</v>
      </c>
      <c r="DZ66" s="3">
        <f t="shared" si="58"/>
        <v>0</v>
      </c>
      <c r="EA66" s="3">
        <f t="shared" si="58"/>
        <v>0</v>
      </c>
      <c r="EB66" s="3">
        <f t="shared" si="58"/>
        <v>0</v>
      </c>
      <c r="EC66" s="3">
        <f t="shared" si="58"/>
        <v>0</v>
      </c>
      <c r="ED66" s="3">
        <f t="shared" si="58"/>
        <v>0</v>
      </c>
      <c r="EE66" s="3">
        <f t="shared" si="58"/>
        <v>0</v>
      </c>
      <c r="EF66" s="3">
        <f t="shared" si="58"/>
        <v>0</v>
      </c>
      <c r="EG66" s="3">
        <f t="shared" si="58"/>
        <v>0</v>
      </c>
      <c r="EH66" s="3">
        <f t="shared" si="58"/>
        <v>0</v>
      </c>
      <c r="EI66" s="3">
        <f t="shared" si="58"/>
        <v>0</v>
      </c>
      <c r="EJ66" s="3">
        <f t="shared" si="58"/>
        <v>0</v>
      </c>
      <c r="EK66" s="3">
        <f t="shared" si="58"/>
        <v>0</v>
      </c>
      <c r="EL66" s="3">
        <f t="shared" si="58"/>
        <v>0</v>
      </c>
      <c r="EM66" s="3">
        <f t="shared" ref="EM66:FR66" si="59">EM82</f>
        <v>0</v>
      </c>
      <c r="EN66" s="3">
        <f t="shared" si="59"/>
        <v>0</v>
      </c>
      <c r="EO66" s="3">
        <f t="shared" si="59"/>
        <v>0</v>
      </c>
      <c r="EP66" s="3">
        <f t="shared" si="59"/>
        <v>0</v>
      </c>
      <c r="EQ66" s="3">
        <f t="shared" si="59"/>
        <v>0</v>
      </c>
      <c r="ER66" s="3">
        <f t="shared" si="59"/>
        <v>0</v>
      </c>
      <c r="ES66" s="3">
        <f t="shared" si="59"/>
        <v>0</v>
      </c>
      <c r="ET66" s="3">
        <f t="shared" si="59"/>
        <v>0</v>
      </c>
      <c r="EU66" s="3">
        <f t="shared" si="59"/>
        <v>0</v>
      </c>
      <c r="EV66" s="3">
        <f t="shared" si="59"/>
        <v>0</v>
      </c>
      <c r="EW66" s="3">
        <f t="shared" si="59"/>
        <v>0</v>
      </c>
      <c r="EX66" s="3">
        <f t="shared" si="59"/>
        <v>0</v>
      </c>
      <c r="EY66" s="3">
        <f t="shared" si="59"/>
        <v>0</v>
      </c>
      <c r="EZ66" s="3">
        <f t="shared" si="59"/>
        <v>0</v>
      </c>
      <c r="FA66" s="3">
        <f t="shared" si="59"/>
        <v>0</v>
      </c>
      <c r="FB66" s="3">
        <f t="shared" si="59"/>
        <v>0</v>
      </c>
      <c r="FC66" s="3">
        <f t="shared" si="59"/>
        <v>0</v>
      </c>
      <c r="FD66" s="3">
        <f t="shared" si="59"/>
        <v>0</v>
      </c>
      <c r="FE66" s="3">
        <f t="shared" si="59"/>
        <v>0</v>
      </c>
      <c r="FF66" s="3">
        <f t="shared" si="59"/>
        <v>0</v>
      </c>
      <c r="FG66" s="3">
        <f t="shared" si="59"/>
        <v>0</v>
      </c>
      <c r="FH66" s="3">
        <f t="shared" si="59"/>
        <v>0</v>
      </c>
      <c r="FI66" s="3">
        <f t="shared" si="59"/>
        <v>0</v>
      </c>
      <c r="FJ66" s="3">
        <f t="shared" si="59"/>
        <v>0</v>
      </c>
      <c r="FK66" s="3">
        <f t="shared" si="59"/>
        <v>0</v>
      </c>
      <c r="FL66" s="3">
        <f t="shared" si="59"/>
        <v>0</v>
      </c>
      <c r="FM66" s="3">
        <f t="shared" si="59"/>
        <v>0</v>
      </c>
      <c r="FN66" s="3">
        <f t="shared" si="59"/>
        <v>0</v>
      </c>
      <c r="FO66" s="3">
        <f t="shared" si="59"/>
        <v>0</v>
      </c>
      <c r="FP66" s="3">
        <f t="shared" si="59"/>
        <v>0</v>
      </c>
      <c r="FQ66" s="3">
        <f t="shared" si="59"/>
        <v>0</v>
      </c>
      <c r="FR66" s="3">
        <f t="shared" si="59"/>
        <v>0</v>
      </c>
      <c r="FS66" s="3">
        <f t="shared" ref="FS66:GX66" si="60">FS82</f>
        <v>0</v>
      </c>
      <c r="FT66" s="3">
        <f t="shared" si="60"/>
        <v>0</v>
      </c>
      <c r="FU66" s="3">
        <f t="shared" si="60"/>
        <v>0</v>
      </c>
      <c r="FV66" s="3">
        <f t="shared" si="60"/>
        <v>0</v>
      </c>
      <c r="FW66" s="3">
        <f t="shared" si="60"/>
        <v>0</v>
      </c>
      <c r="FX66" s="3">
        <f t="shared" si="60"/>
        <v>0</v>
      </c>
      <c r="FY66" s="3">
        <f t="shared" si="60"/>
        <v>0</v>
      </c>
      <c r="FZ66" s="3">
        <f t="shared" si="60"/>
        <v>0</v>
      </c>
      <c r="GA66" s="3">
        <f t="shared" si="60"/>
        <v>0</v>
      </c>
      <c r="GB66" s="3">
        <f t="shared" si="60"/>
        <v>0</v>
      </c>
      <c r="GC66" s="3">
        <f t="shared" si="60"/>
        <v>0</v>
      </c>
      <c r="GD66" s="3">
        <f t="shared" si="60"/>
        <v>0</v>
      </c>
      <c r="GE66" s="3">
        <f t="shared" si="60"/>
        <v>0</v>
      </c>
      <c r="GF66" s="3">
        <f t="shared" si="60"/>
        <v>0</v>
      </c>
      <c r="GG66" s="3">
        <f t="shared" si="60"/>
        <v>0</v>
      </c>
      <c r="GH66" s="3">
        <f t="shared" si="60"/>
        <v>0</v>
      </c>
      <c r="GI66" s="3">
        <f t="shared" si="60"/>
        <v>0</v>
      </c>
      <c r="GJ66" s="3">
        <f t="shared" si="60"/>
        <v>0</v>
      </c>
      <c r="GK66" s="3">
        <f t="shared" si="60"/>
        <v>0</v>
      </c>
      <c r="GL66" s="3">
        <f t="shared" si="60"/>
        <v>0</v>
      </c>
      <c r="GM66" s="3">
        <f t="shared" si="60"/>
        <v>0</v>
      </c>
      <c r="GN66" s="3">
        <f t="shared" si="60"/>
        <v>0</v>
      </c>
      <c r="GO66" s="3">
        <f t="shared" si="60"/>
        <v>0</v>
      </c>
      <c r="GP66" s="3">
        <f t="shared" si="60"/>
        <v>0</v>
      </c>
      <c r="GQ66" s="3">
        <f t="shared" si="60"/>
        <v>0</v>
      </c>
      <c r="GR66" s="3">
        <f t="shared" si="60"/>
        <v>0</v>
      </c>
      <c r="GS66" s="3">
        <f t="shared" si="60"/>
        <v>0</v>
      </c>
      <c r="GT66" s="3">
        <f t="shared" si="60"/>
        <v>0</v>
      </c>
      <c r="GU66" s="3">
        <f t="shared" si="60"/>
        <v>0</v>
      </c>
      <c r="GV66" s="3">
        <f t="shared" si="60"/>
        <v>0</v>
      </c>
      <c r="GW66" s="3">
        <f t="shared" si="60"/>
        <v>0</v>
      </c>
      <c r="GX66" s="3">
        <f t="shared" si="60"/>
        <v>0</v>
      </c>
    </row>
    <row r="68" spans="1:245" x14ac:dyDescent="0.2">
      <c r="A68">
        <v>17</v>
      </c>
      <c r="B68">
        <v>1</v>
      </c>
      <c r="C68">
        <f>ROW(SmtRes!A12)</f>
        <v>12</v>
      </c>
      <c r="D68">
        <f>ROW(EtalonRes!A10)</f>
        <v>10</v>
      </c>
      <c r="E68" t="s">
        <v>98</v>
      </c>
      <c r="F68" t="s">
        <v>99</v>
      </c>
      <c r="G68" t="s">
        <v>100</v>
      </c>
      <c r="H68" t="s">
        <v>17</v>
      </c>
      <c r="I68">
        <v>19</v>
      </c>
      <c r="J68">
        <v>0</v>
      </c>
      <c r="O68">
        <f t="shared" ref="O68:O80" si="61">ROUND(CP68,2)</f>
        <v>24765.74</v>
      </c>
      <c r="P68">
        <f t="shared" ref="P68:P80" si="62">ROUND(CQ68*I68,2)</f>
        <v>400.52</v>
      </c>
      <c r="Q68">
        <f t="shared" ref="Q68:Q80" si="63">ROUND(CR68*I68,2)</f>
        <v>0</v>
      </c>
      <c r="R68">
        <f t="shared" ref="R68:R80" si="64">ROUND(CS68*I68,2)</f>
        <v>0</v>
      </c>
      <c r="S68">
        <f t="shared" ref="S68:S80" si="65">ROUND(CT68*I68,2)</f>
        <v>24365.22</v>
      </c>
      <c r="T68">
        <f t="shared" ref="T68:T80" si="66">ROUND(CU68*I68,2)</f>
        <v>0</v>
      </c>
      <c r="U68">
        <f t="shared" ref="U68:U80" si="67">CV68*I68</f>
        <v>114</v>
      </c>
      <c r="V68">
        <f t="shared" ref="V68:V80" si="68">CW68*I68</f>
        <v>0</v>
      </c>
      <c r="W68">
        <f t="shared" ref="W68:W80" si="69">ROUND(CX68*I68,2)</f>
        <v>0</v>
      </c>
      <c r="X68">
        <f t="shared" ref="X68:X80" si="70">ROUND(CY68,2)</f>
        <v>17055.650000000001</v>
      </c>
      <c r="Y68">
        <f t="shared" ref="Y68:Y80" si="71">ROUND(CZ68,2)</f>
        <v>2436.52</v>
      </c>
      <c r="AA68">
        <v>33299672</v>
      </c>
      <c r="AB68">
        <f t="shared" ref="AB68:AB80" si="72">ROUND((AC68+AD68+AF68),6)</f>
        <v>1303.46</v>
      </c>
      <c r="AC68">
        <f t="shared" ref="AC68:AC80" si="73">ROUND((ES68),6)</f>
        <v>21.08</v>
      </c>
      <c r="AD68">
        <f t="shared" ref="AD68:AD80" si="74">ROUND((((ET68)-(EU68))+AE68),6)</f>
        <v>0</v>
      </c>
      <c r="AE68">
        <f t="shared" ref="AE68:AE80" si="75">ROUND((EU68),6)</f>
        <v>0</v>
      </c>
      <c r="AF68">
        <f t="shared" ref="AF68:AF80" si="76">ROUND((EV68),6)</f>
        <v>1282.3800000000001</v>
      </c>
      <c r="AG68">
        <f t="shared" ref="AG68:AG80" si="77">ROUND((AP68),6)</f>
        <v>0</v>
      </c>
      <c r="AH68">
        <f t="shared" ref="AH68:AI71" si="78">(EW68)</f>
        <v>6</v>
      </c>
      <c r="AI68">
        <f t="shared" si="78"/>
        <v>0</v>
      </c>
      <c r="AJ68">
        <f t="shared" ref="AJ68:AJ80" si="79">ROUND((AS68),6)</f>
        <v>0</v>
      </c>
      <c r="AK68">
        <v>1303.46</v>
      </c>
      <c r="AL68">
        <v>21.08</v>
      </c>
      <c r="AM68">
        <v>0</v>
      </c>
      <c r="AN68">
        <v>0</v>
      </c>
      <c r="AO68">
        <v>1282.3800000000001</v>
      </c>
      <c r="AP68">
        <v>0</v>
      </c>
      <c r="AQ68">
        <v>6</v>
      </c>
      <c r="AR68">
        <v>0</v>
      </c>
      <c r="AS68">
        <v>0</v>
      </c>
      <c r="AT68">
        <v>70</v>
      </c>
      <c r="AU68">
        <v>10</v>
      </c>
      <c r="AV68">
        <v>1</v>
      </c>
      <c r="AW68">
        <v>1</v>
      </c>
      <c r="AZ68">
        <v>1</v>
      </c>
      <c r="BA68">
        <v>1</v>
      </c>
      <c r="BB68">
        <v>1</v>
      </c>
      <c r="BC68">
        <v>1</v>
      </c>
      <c r="BD68" t="s">
        <v>3</v>
      </c>
      <c r="BE68" t="s">
        <v>3</v>
      </c>
      <c r="BF68" t="s">
        <v>3</v>
      </c>
      <c r="BG68" t="s">
        <v>3</v>
      </c>
      <c r="BH68">
        <v>0</v>
      </c>
      <c r="BI68">
        <v>4</v>
      </c>
      <c r="BJ68" t="s">
        <v>101</v>
      </c>
      <c r="BM68">
        <v>0</v>
      </c>
      <c r="BN68">
        <v>0</v>
      </c>
      <c r="BO68" t="s">
        <v>3</v>
      </c>
      <c r="BP68">
        <v>0</v>
      </c>
      <c r="BQ68">
        <v>1</v>
      </c>
      <c r="BR68">
        <v>0</v>
      </c>
      <c r="BS68">
        <v>1</v>
      </c>
      <c r="BT68">
        <v>1</v>
      </c>
      <c r="BU68">
        <v>1</v>
      </c>
      <c r="BV68">
        <v>1</v>
      </c>
      <c r="BW68">
        <v>1</v>
      </c>
      <c r="BX68">
        <v>1</v>
      </c>
      <c r="BY68" t="s">
        <v>3</v>
      </c>
      <c r="BZ68">
        <v>70</v>
      </c>
      <c r="CA68">
        <v>10</v>
      </c>
      <c r="CF68">
        <v>0</v>
      </c>
      <c r="CG68">
        <v>0</v>
      </c>
      <c r="CM68">
        <v>0</v>
      </c>
      <c r="CN68" t="s">
        <v>3</v>
      </c>
      <c r="CO68">
        <v>0</v>
      </c>
      <c r="CP68">
        <f t="shared" ref="CP68:CP80" si="80">(P68+Q68+S68)</f>
        <v>24765.74</v>
      </c>
      <c r="CQ68">
        <f t="shared" ref="CQ68:CQ80" si="81">(AC68*BC68*AW68)</f>
        <v>21.08</v>
      </c>
      <c r="CR68">
        <f t="shared" ref="CR68:CR80" si="82">((((ET68)*BB68-(EU68)*BS68)+AE68*BS68)*AV68)</f>
        <v>0</v>
      </c>
      <c r="CS68">
        <f t="shared" ref="CS68:CS80" si="83">(AE68*BS68*AV68)</f>
        <v>0</v>
      </c>
      <c r="CT68">
        <f t="shared" ref="CT68:CT80" si="84">(AF68*BA68*AV68)</f>
        <v>1282.3800000000001</v>
      </c>
      <c r="CU68">
        <f t="shared" ref="CU68:CU80" si="85">AG68</f>
        <v>0</v>
      </c>
      <c r="CV68">
        <f t="shared" ref="CV68:CV80" si="86">(AH68*AV68)</f>
        <v>6</v>
      </c>
      <c r="CW68">
        <f t="shared" ref="CW68:CW80" si="87">AI68</f>
        <v>0</v>
      </c>
      <c r="CX68">
        <f t="shared" ref="CX68:CX80" si="88">AJ68</f>
        <v>0</v>
      </c>
      <c r="CY68">
        <f t="shared" ref="CY68:CY80" si="89">((S68*BZ68)/100)</f>
        <v>17055.654000000002</v>
      </c>
      <c r="CZ68">
        <f t="shared" ref="CZ68:CZ80" si="90">((S68*CA68)/100)</f>
        <v>2436.5219999999999</v>
      </c>
      <c r="DC68" t="s">
        <v>3</v>
      </c>
      <c r="DD68" t="s">
        <v>3</v>
      </c>
      <c r="DE68" t="s">
        <v>3</v>
      </c>
      <c r="DF68" t="s">
        <v>3</v>
      </c>
      <c r="DG68" t="s">
        <v>3</v>
      </c>
      <c r="DH68" t="s">
        <v>3</v>
      </c>
      <c r="DI68" t="s">
        <v>3</v>
      </c>
      <c r="DJ68" t="s">
        <v>3</v>
      </c>
      <c r="DK68" t="s">
        <v>3</v>
      </c>
      <c r="DL68" t="s">
        <v>3</v>
      </c>
      <c r="DM68" t="s">
        <v>3</v>
      </c>
      <c r="DN68">
        <v>0</v>
      </c>
      <c r="DO68">
        <v>0</v>
      </c>
      <c r="DP68">
        <v>1</v>
      </c>
      <c r="DQ68">
        <v>1</v>
      </c>
      <c r="DU68">
        <v>1010</v>
      </c>
      <c r="DV68" t="s">
        <v>17</v>
      </c>
      <c r="DW68" t="s">
        <v>17</v>
      </c>
      <c r="DX68">
        <v>1</v>
      </c>
      <c r="EE68">
        <v>32893472</v>
      </c>
      <c r="EF68">
        <v>1</v>
      </c>
      <c r="EG68" t="s">
        <v>20</v>
      </c>
      <c r="EH68">
        <v>0</v>
      </c>
      <c r="EI68" t="s">
        <v>3</v>
      </c>
      <c r="EJ68">
        <v>4</v>
      </c>
      <c r="EK68">
        <v>0</v>
      </c>
      <c r="EL68" t="s">
        <v>21</v>
      </c>
      <c r="EM68" t="s">
        <v>22</v>
      </c>
      <c r="EO68" t="s">
        <v>3</v>
      </c>
      <c r="EQ68">
        <v>0</v>
      </c>
      <c r="ER68">
        <v>1303.46</v>
      </c>
      <c r="ES68">
        <v>21.08</v>
      </c>
      <c r="ET68">
        <v>0</v>
      </c>
      <c r="EU68">
        <v>0</v>
      </c>
      <c r="EV68">
        <v>1282.3800000000001</v>
      </c>
      <c r="EW68">
        <v>6</v>
      </c>
      <c r="EX68">
        <v>0</v>
      </c>
      <c r="EY68">
        <v>0</v>
      </c>
      <c r="FQ68">
        <v>0</v>
      </c>
      <c r="FR68">
        <f t="shared" ref="FR68:FR80" si="91">ROUND(IF(AND(BH68=3,BI68=3),P68,0),2)</f>
        <v>0</v>
      </c>
      <c r="FS68">
        <v>0</v>
      </c>
      <c r="FX68">
        <v>70</v>
      </c>
      <c r="FY68">
        <v>10</v>
      </c>
      <c r="GA68" t="s">
        <v>3</v>
      </c>
      <c r="GD68">
        <v>0</v>
      </c>
      <c r="GF68">
        <v>-1771022365</v>
      </c>
      <c r="GG68">
        <v>2</v>
      </c>
      <c r="GH68">
        <v>1</v>
      </c>
      <c r="GI68">
        <v>-2</v>
      </c>
      <c r="GJ68">
        <v>0</v>
      </c>
      <c r="GK68">
        <f>ROUND(R68*(R12)/100,2)</f>
        <v>0</v>
      </c>
      <c r="GL68">
        <f t="shared" ref="GL68:GL80" si="92">ROUND(IF(AND(BH68=3,BI68=3,FS68&lt;&gt;0),P68,0),2)</f>
        <v>0</v>
      </c>
      <c r="GM68">
        <f t="shared" ref="GM68:GM80" si="93">ROUND(O68+X68+Y68+GK68,2)+GX68</f>
        <v>44257.91</v>
      </c>
      <c r="GN68">
        <f t="shared" ref="GN68:GN80" si="94">IF(OR(BI68=0,BI68=1),ROUND(O68+X68+Y68+GK68,2),0)</f>
        <v>0</v>
      </c>
      <c r="GO68">
        <f t="shared" ref="GO68:GO80" si="95">IF(BI68=2,ROUND(O68+X68+Y68+GK68,2),0)</f>
        <v>0</v>
      </c>
      <c r="GP68">
        <f t="shared" ref="GP68:GP80" si="96">IF(BI68=4,ROUND(O68+X68+Y68+GK68,2)+GX68,0)</f>
        <v>44257.91</v>
      </c>
      <c r="GR68">
        <v>0</v>
      </c>
      <c r="GS68">
        <v>3</v>
      </c>
      <c r="GT68">
        <v>0</v>
      </c>
      <c r="GU68" t="s">
        <v>3</v>
      </c>
      <c r="GV68">
        <f t="shared" ref="GV68:GV80" si="97">ROUND(GT68,6)</f>
        <v>0</v>
      </c>
      <c r="GW68">
        <v>1</v>
      </c>
      <c r="GX68">
        <f t="shared" ref="GX68:GX80" si="98">ROUND(GV68*GW68*I68,2)</f>
        <v>0</v>
      </c>
      <c r="HA68">
        <v>0</v>
      </c>
      <c r="HB68">
        <v>0</v>
      </c>
      <c r="IK68">
        <v>0</v>
      </c>
    </row>
    <row r="69" spans="1:245" x14ac:dyDescent="0.2">
      <c r="A69">
        <v>17</v>
      </c>
      <c r="B69">
        <v>1</v>
      </c>
      <c r="C69">
        <f>ROW(SmtRes!A14)</f>
        <v>14</v>
      </c>
      <c r="D69">
        <f>ROW(EtalonRes!A12)</f>
        <v>12</v>
      </c>
      <c r="E69" t="s">
        <v>102</v>
      </c>
      <c r="F69" t="s">
        <v>103</v>
      </c>
      <c r="G69" t="s">
        <v>104</v>
      </c>
      <c r="H69" t="s">
        <v>26</v>
      </c>
      <c r="I69">
        <v>42.890999999999998</v>
      </c>
      <c r="J69">
        <v>0</v>
      </c>
      <c r="O69">
        <f t="shared" si="61"/>
        <v>110018.84</v>
      </c>
      <c r="P69">
        <f t="shared" si="62"/>
        <v>349.13</v>
      </c>
      <c r="Q69">
        <f t="shared" si="63"/>
        <v>0</v>
      </c>
      <c r="R69">
        <f t="shared" si="64"/>
        <v>0</v>
      </c>
      <c r="S69">
        <f t="shared" si="65"/>
        <v>109669.71</v>
      </c>
      <c r="T69">
        <f t="shared" si="66"/>
        <v>0</v>
      </c>
      <c r="U69">
        <f t="shared" si="67"/>
        <v>591.89580000000001</v>
      </c>
      <c r="V69">
        <f t="shared" si="68"/>
        <v>0</v>
      </c>
      <c r="W69">
        <f t="shared" si="69"/>
        <v>0</v>
      </c>
      <c r="X69">
        <f t="shared" si="70"/>
        <v>76768.800000000003</v>
      </c>
      <c r="Y69">
        <f t="shared" si="71"/>
        <v>10966.97</v>
      </c>
      <c r="AA69">
        <v>33299672</v>
      </c>
      <c r="AB69">
        <f t="shared" si="72"/>
        <v>2565.08</v>
      </c>
      <c r="AC69">
        <f t="shared" si="73"/>
        <v>8.14</v>
      </c>
      <c r="AD69">
        <f t="shared" si="74"/>
        <v>0</v>
      </c>
      <c r="AE69">
        <f t="shared" si="75"/>
        <v>0</v>
      </c>
      <c r="AF69">
        <f t="shared" si="76"/>
        <v>2556.94</v>
      </c>
      <c r="AG69">
        <f t="shared" si="77"/>
        <v>0</v>
      </c>
      <c r="AH69">
        <f t="shared" si="78"/>
        <v>13.8</v>
      </c>
      <c r="AI69">
        <f t="shared" si="78"/>
        <v>0</v>
      </c>
      <c r="AJ69">
        <f t="shared" si="79"/>
        <v>0</v>
      </c>
      <c r="AK69">
        <v>2565.08</v>
      </c>
      <c r="AL69">
        <v>8.14</v>
      </c>
      <c r="AM69">
        <v>0</v>
      </c>
      <c r="AN69">
        <v>0</v>
      </c>
      <c r="AO69">
        <v>2556.94</v>
      </c>
      <c r="AP69">
        <v>0</v>
      </c>
      <c r="AQ69">
        <v>13.8</v>
      </c>
      <c r="AR69">
        <v>0</v>
      </c>
      <c r="AS69">
        <v>0</v>
      </c>
      <c r="AT69">
        <v>70</v>
      </c>
      <c r="AU69">
        <v>10</v>
      </c>
      <c r="AV69">
        <v>1</v>
      </c>
      <c r="AW69">
        <v>1</v>
      </c>
      <c r="AZ69">
        <v>1</v>
      </c>
      <c r="BA69">
        <v>1</v>
      </c>
      <c r="BB69">
        <v>1</v>
      </c>
      <c r="BC69">
        <v>1</v>
      </c>
      <c r="BD69" t="s">
        <v>3</v>
      </c>
      <c r="BE69" t="s">
        <v>3</v>
      </c>
      <c r="BF69" t="s">
        <v>3</v>
      </c>
      <c r="BG69" t="s">
        <v>3</v>
      </c>
      <c r="BH69">
        <v>0</v>
      </c>
      <c r="BI69">
        <v>4</v>
      </c>
      <c r="BJ69" t="s">
        <v>105</v>
      </c>
      <c r="BM69">
        <v>0</v>
      </c>
      <c r="BN69">
        <v>0</v>
      </c>
      <c r="BO69" t="s">
        <v>3</v>
      </c>
      <c r="BP69">
        <v>0</v>
      </c>
      <c r="BQ69">
        <v>1</v>
      </c>
      <c r="BR69">
        <v>0</v>
      </c>
      <c r="BS69">
        <v>1</v>
      </c>
      <c r="BT69">
        <v>1</v>
      </c>
      <c r="BU69">
        <v>1</v>
      </c>
      <c r="BV69">
        <v>1</v>
      </c>
      <c r="BW69">
        <v>1</v>
      </c>
      <c r="BX69">
        <v>1</v>
      </c>
      <c r="BY69" t="s">
        <v>3</v>
      </c>
      <c r="BZ69">
        <v>70</v>
      </c>
      <c r="CA69">
        <v>10</v>
      </c>
      <c r="CF69">
        <v>0</v>
      </c>
      <c r="CG69">
        <v>0</v>
      </c>
      <c r="CM69">
        <v>0</v>
      </c>
      <c r="CN69" t="s">
        <v>3</v>
      </c>
      <c r="CO69">
        <v>0</v>
      </c>
      <c r="CP69">
        <f t="shared" si="80"/>
        <v>110018.84000000001</v>
      </c>
      <c r="CQ69">
        <f t="shared" si="81"/>
        <v>8.14</v>
      </c>
      <c r="CR69">
        <f t="shared" si="82"/>
        <v>0</v>
      </c>
      <c r="CS69">
        <f t="shared" si="83"/>
        <v>0</v>
      </c>
      <c r="CT69">
        <f t="shared" si="84"/>
        <v>2556.94</v>
      </c>
      <c r="CU69">
        <f t="shared" si="85"/>
        <v>0</v>
      </c>
      <c r="CV69">
        <f t="shared" si="86"/>
        <v>13.8</v>
      </c>
      <c r="CW69">
        <f t="shared" si="87"/>
        <v>0</v>
      </c>
      <c r="CX69">
        <f t="shared" si="88"/>
        <v>0</v>
      </c>
      <c r="CY69">
        <f t="shared" si="89"/>
        <v>76768.797000000006</v>
      </c>
      <c r="CZ69">
        <f t="shared" si="90"/>
        <v>10966.971000000001</v>
      </c>
      <c r="DC69" t="s">
        <v>3</v>
      </c>
      <c r="DD69" t="s">
        <v>3</v>
      </c>
      <c r="DE69" t="s">
        <v>3</v>
      </c>
      <c r="DF69" t="s">
        <v>3</v>
      </c>
      <c r="DG69" t="s">
        <v>3</v>
      </c>
      <c r="DH69" t="s">
        <v>3</v>
      </c>
      <c r="DI69" t="s">
        <v>3</v>
      </c>
      <c r="DJ69" t="s">
        <v>3</v>
      </c>
      <c r="DK69" t="s">
        <v>3</v>
      </c>
      <c r="DL69" t="s">
        <v>3</v>
      </c>
      <c r="DM69" t="s">
        <v>3</v>
      </c>
      <c r="DN69">
        <v>0</v>
      </c>
      <c r="DO69">
        <v>0</v>
      </c>
      <c r="DP69">
        <v>1</v>
      </c>
      <c r="DQ69">
        <v>1</v>
      </c>
      <c r="DU69">
        <v>1003</v>
      </c>
      <c r="DV69" t="s">
        <v>26</v>
      </c>
      <c r="DW69" t="s">
        <v>26</v>
      </c>
      <c r="DX69">
        <v>1000</v>
      </c>
      <c r="EE69">
        <v>32893472</v>
      </c>
      <c r="EF69">
        <v>1</v>
      </c>
      <c r="EG69" t="s">
        <v>20</v>
      </c>
      <c r="EH69">
        <v>0</v>
      </c>
      <c r="EI69" t="s">
        <v>3</v>
      </c>
      <c r="EJ69">
        <v>4</v>
      </c>
      <c r="EK69">
        <v>0</v>
      </c>
      <c r="EL69" t="s">
        <v>21</v>
      </c>
      <c r="EM69" t="s">
        <v>22</v>
      </c>
      <c r="EO69" t="s">
        <v>3</v>
      </c>
      <c r="EQ69">
        <v>0</v>
      </c>
      <c r="ER69">
        <v>2565.08</v>
      </c>
      <c r="ES69">
        <v>8.14</v>
      </c>
      <c r="ET69">
        <v>0</v>
      </c>
      <c r="EU69">
        <v>0</v>
      </c>
      <c r="EV69">
        <v>2556.94</v>
      </c>
      <c r="EW69">
        <v>13.8</v>
      </c>
      <c r="EX69">
        <v>0</v>
      </c>
      <c r="EY69">
        <v>0</v>
      </c>
      <c r="FQ69">
        <v>0</v>
      </c>
      <c r="FR69">
        <f t="shared" si="91"/>
        <v>0</v>
      </c>
      <c r="FS69">
        <v>0</v>
      </c>
      <c r="FX69">
        <v>70</v>
      </c>
      <c r="FY69">
        <v>10</v>
      </c>
      <c r="GA69" t="s">
        <v>3</v>
      </c>
      <c r="GD69">
        <v>0</v>
      </c>
      <c r="GF69">
        <v>336013316</v>
      </c>
      <c r="GG69">
        <v>2</v>
      </c>
      <c r="GH69">
        <v>1</v>
      </c>
      <c r="GI69">
        <v>-2</v>
      </c>
      <c r="GJ69">
        <v>0</v>
      </c>
      <c r="GK69">
        <f>ROUND(R69*(R12)/100,2)</f>
        <v>0</v>
      </c>
      <c r="GL69">
        <f t="shared" si="92"/>
        <v>0</v>
      </c>
      <c r="GM69">
        <f t="shared" si="93"/>
        <v>197754.61</v>
      </c>
      <c r="GN69">
        <f t="shared" si="94"/>
        <v>0</v>
      </c>
      <c r="GO69">
        <f t="shared" si="95"/>
        <v>0</v>
      </c>
      <c r="GP69">
        <f t="shared" si="96"/>
        <v>197754.61</v>
      </c>
      <c r="GR69">
        <v>0</v>
      </c>
      <c r="GS69">
        <v>3</v>
      </c>
      <c r="GT69">
        <v>0</v>
      </c>
      <c r="GU69" t="s">
        <v>3</v>
      </c>
      <c r="GV69">
        <f t="shared" si="97"/>
        <v>0</v>
      </c>
      <c r="GW69">
        <v>1</v>
      </c>
      <c r="GX69">
        <f t="shared" si="98"/>
        <v>0</v>
      </c>
      <c r="HA69">
        <v>0</v>
      </c>
      <c r="HB69">
        <v>0</v>
      </c>
      <c r="IK69">
        <v>0</v>
      </c>
    </row>
    <row r="70" spans="1:245" x14ac:dyDescent="0.2">
      <c r="A70">
        <v>17</v>
      </c>
      <c r="B70">
        <v>1</v>
      </c>
      <c r="C70">
        <f>ROW(SmtRes!A18)</f>
        <v>18</v>
      </c>
      <c r="D70">
        <f>ROW(EtalonRes!A16)</f>
        <v>16</v>
      </c>
      <c r="E70" t="s">
        <v>106</v>
      </c>
      <c r="F70" t="s">
        <v>107</v>
      </c>
      <c r="G70" t="s">
        <v>108</v>
      </c>
      <c r="H70" t="s">
        <v>31</v>
      </c>
      <c r="I70">
        <f>ROUND(1402/10,9)</f>
        <v>140.19999999999999</v>
      </c>
      <c r="J70">
        <v>0</v>
      </c>
      <c r="O70">
        <f t="shared" si="61"/>
        <v>1489878.76</v>
      </c>
      <c r="P70">
        <f t="shared" si="62"/>
        <v>1232.3599999999999</v>
      </c>
      <c r="Q70">
        <f t="shared" si="63"/>
        <v>1187199.58</v>
      </c>
      <c r="R70">
        <f t="shared" si="64"/>
        <v>501838.89</v>
      </c>
      <c r="S70">
        <f t="shared" si="65"/>
        <v>301446.82</v>
      </c>
      <c r="T70">
        <f t="shared" si="66"/>
        <v>0</v>
      </c>
      <c r="U70">
        <f t="shared" si="67"/>
        <v>1410.412</v>
      </c>
      <c r="V70">
        <f t="shared" si="68"/>
        <v>0</v>
      </c>
      <c r="W70">
        <f t="shared" si="69"/>
        <v>0</v>
      </c>
      <c r="X70">
        <f t="shared" si="70"/>
        <v>211012.77</v>
      </c>
      <c r="Y70">
        <f t="shared" si="71"/>
        <v>30144.68</v>
      </c>
      <c r="AA70">
        <v>33299672</v>
      </c>
      <c r="AB70">
        <f t="shared" si="72"/>
        <v>10626.81</v>
      </c>
      <c r="AC70">
        <f t="shared" si="73"/>
        <v>8.7899999999999991</v>
      </c>
      <c r="AD70">
        <f t="shared" si="74"/>
        <v>8467.9</v>
      </c>
      <c r="AE70">
        <f t="shared" si="75"/>
        <v>3579.45</v>
      </c>
      <c r="AF70">
        <f t="shared" si="76"/>
        <v>2150.12</v>
      </c>
      <c r="AG70">
        <f t="shared" si="77"/>
        <v>0</v>
      </c>
      <c r="AH70">
        <f t="shared" si="78"/>
        <v>10.06</v>
      </c>
      <c r="AI70">
        <f t="shared" si="78"/>
        <v>0</v>
      </c>
      <c r="AJ70">
        <f t="shared" si="79"/>
        <v>0</v>
      </c>
      <c r="AK70">
        <v>10626.81</v>
      </c>
      <c r="AL70">
        <v>8.7899999999999991</v>
      </c>
      <c r="AM70">
        <v>8467.9</v>
      </c>
      <c r="AN70">
        <v>3579.45</v>
      </c>
      <c r="AO70">
        <v>2150.12</v>
      </c>
      <c r="AP70">
        <v>0</v>
      </c>
      <c r="AQ70">
        <v>10.06</v>
      </c>
      <c r="AR70">
        <v>0</v>
      </c>
      <c r="AS70">
        <v>0</v>
      </c>
      <c r="AT70">
        <v>70</v>
      </c>
      <c r="AU70">
        <v>10</v>
      </c>
      <c r="AV70">
        <v>1</v>
      </c>
      <c r="AW70">
        <v>1</v>
      </c>
      <c r="AZ70">
        <v>1</v>
      </c>
      <c r="BA70">
        <v>1</v>
      </c>
      <c r="BB70">
        <v>1</v>
      </c>
      <c r="BC70">
        <v>1</v>
      </c>
      <c r="BD70" t="s">
        <v>3</v>
      </c>
      <c r="BE70" t="s">
        <v>3</v>
      </c>
      <c r="BF70" t="s">
        <v>3</v>
      </c>
      <c r="BG70" t="s">
        <v>3</v>
      </c>
      <c r="BH70">
        <v>0</v>
      </c>
      <c r="BI70">
        <v>4</v>
      </c>
      <c r="BJ70" t="s">
        <v>109</v>
      </c>
      <c r="BM70">
        <v>0</v>
      </c>
      <c r="BN70">
        <v>0</v>
      </c>
      <c r="BO70" t="s">
        <v>3</v>
      </c>
      <c r="BP70">
        <v>0</v>
      </c>
      <c r="BQ70">
        <v>1</v>
      </c>
      <c r="BR70">
        <v>0</v>
      </c>
      <c r="BS70">
        <v>1</v>
      </c>
      <c r="BT70">
        <v>1</v>
      </c>
      <c r="BU70">
        <v>1</v>
      </c>
      <c r="BV70">
        <v>1</v>
      </c>
      <c r="BW70">
        <v>1</v>
      </c>
      <c r="BX70">
        <v>1</v>
      </c>
      <c r="BY70" t="s">
        <v>3</v>
      </c>
      <c r="BZ70">
        <v>70</v>
      </c>
      <c r="CA70">
        <v>10</v>
      </c>
      <c r="CF70">
        <v>0</v>
      </c>
      <c r="CG70">
        <v>0</v>
      </c>
      <c r="CM70">
        <v>0</v>
      </c>
      <c r="CN70" t="s">
        <v>3</v>
      </c>
      <c r="CO70">
        <v>0</v>
      </c>
      <c r="CP70">
        <f t="shared" si="80"/>
        <v>1489878.7600000002</v>
      </c>
      <c r="CQ70">
        <f t="shared" si="81"/>
        <v>8.7899999999999991</v>
      </c>
      <c r="CR70">
        <f t="shared" si="82"/>
        <v>8467.9</v>
      </c>
      <c r="CS70">
        <f t="shared" si="83"/>
        <v>3579.45</v>
      </c>
      <c r="CT70">
        <f t="shared" si="84"/>
        <v>2150.12</v>
      </c>
      <c r="CU70">
        <f t="shared" si="85"/>
        <v>0</v>
      </c>
      <c r="CV70">
        <f t="shared" si="86"/>
        <v>10.06</v>
      </c>
      <c r="CW70">
        <f t="shared" si="87"/>
        <v>0</v>
      </c>
      <c r="CX70">
        <f t="shared" si="88"/>
        <v>0</v>
      </c>
      <c r="CY70">
        <f t="shared" si="89"/>
        <v>211012.77400000003</v>
      </c>
      <c r="CZ70">
        <f t="shared" si="90"/>
        <v>30144.682000000001</v>
      </c>
      <c r="DC70" t="s">
        <v>3</v>
      </c>
      <c r="DD70" t="s">
        <v>3</v>
      </c>
      <c r="DE70" t="s">
        <v>3</v>
      </c>
      <c r="DF70" t="s">
        <v>3</v>
      </c>
      <c r="DG70" t="s">
        <v>3</v>
      </c>
      <c r="DH70" t="s">
        <v>3</v>
      </c>
      <c r="DI70" t="s">
        <v>3</v>
      </c>
      <c r="DJ70" t="s">
        <v>3</v>
      </c>
      <c r="DK70" t="s">
        <v>3</v>
      </c>
      <c r="DL70" t="s">
        <v>3</v>
      </c>
      <c r="DM70" t="s">
        <v>3</v>
      </c>
      <c r="DN70">
        <v>0</v>
      </c>
      <c r="DO70">
        <v>0</v>
      </c>
      <c r="DP70">
        <v>1</v>
      </c>
      <c r="DQ70">
        <v>1</v>
      </c>
      <c r="DU70">
        <v>1010</v>
      </c>
      <c r="DV70" t="s">
        <v>31</v>
      </c>
      <c r="DW70" t="s">
        <v>31</v>
      </c>
      <c r="DX70">
        <v>10</v>
      </c>
      <c r="EE70">
        <v>32893472</v>
      </c>
      <c r="EF70">
        <v>1</v>
      </c>
      <c r="EG70" t="s">
        <v>20</v>
      </c>
      <c r="EH70">
        <v>0</v>
      </c>
      <c r="EI70" t="s">
        <v>3</v>
      </c>
      <c r="EJ70">
        <v>4</v>
      </c>
      <c r="EK70">
        <v>0</v>
      </c>
      <c r="EL70" t="s">
        <v>21</v>
      </c>
      <c r="EM70" t="s">
        <v>22</v>
      </c>
      <c r="EO70" t="s">
        <v>3</v>
      </c>
      <c r="EQ70">
        <v>0</v>
      </c>
      <c r="ER70">
        <v>10626.81</v>
      </c>
      <c r="ES70">
        <v>8.7899999999999991</v>
      </c>
      <c r="ET70">
        <v>8467.9</v>
      </c>
      <c r="EU70">
        <v>3579.45</v>
      </c>
      <c r="EV70">
        <v>2150.12</v>
      </c>
      <c r="EW70">
        <v>10.06</v>
      </c>
      <c r="EX70">
        <v>0</v>
      </c>
      <c r="EY70">
        <v>0</v>
      </c>
      <c r="FQ70">
        <v>0</v>
      </c>
      <c r="FR70">
        <f t="shared" si="91"/>
        <v>0</v>
      </c>
      <c r="FS70">
        <v>0</v>
      </c>
      <c r="FX70">
        <v>70</v>
      </c>
      <c r="FY70">
        <v>10</v>
      </c>
      <c r="GA70" t="s">
        <v>3</v>
      </c>
      <c r="GD70">
        <v>0</v>
      </c>
      <c r="GF70">
        <v>-1112232753</v>
      </c>
      <c r="GG70">
        <v>2</v>
      </c>
      <c r="GH70">
        <v>1</v>
      </c>
      <c r="GI70">
        <v>-2</v>
      </c>
      <c r="GJ70">
        <v>0</v>
      </c>
      <c r="GK70">
        <f>ROUND(R70*(R12)/100,2)</f>
        <v>541986</v>
      </c>
      <c r="GL70">
        <f t="shared" si="92"/>
        <v>0</v>
      </c>
      <c r="GM70">
        <f t="shared" si="93"/>
        <v>2273022.21</v>
      </c>
      <c r="GN70">
        <f t="shared" si="94"/>
        <v>0</v>
      </c>
      <c r="GO70">
        <f t="shared" si="95"/>
        <v>0</v>
      </c>
      <c r="GP70">
        <f t="shared" si="96"/>
        <v>2273022.21</v>
      </c>
      <c r="GR70">
        <v>0</v>
      </c>
      <c r="GS70">
        <v>3</v>
      </c>
      <c r="GT70">
        <v>0</v>
      </c>
      <c r="GU70" t="s">
        <v>3</v>
      </c>
      <c r="GV70">
        <f t="shared" si="97"/>
        <v>0</v>
      </c>
      <c r="GW70">
        <v>1</v>
      </c>
      <c r="GX70">
        <f t="shared" si="98"/>
        <v>0</v>
      </c>
      <c r="HA70">
        <v>0</v>
      </c>
      <c r="HB70">
        <v>0</v>
      </c>
      <c r="IK70">
        <v>0</v>
      </c>
    </row>
    <row r="71" spans="1:245" x14ac:dyDescent="0.2">
      <c r="A71">
        <v>17</v>
      </c>
      <c r="B71">
        <v>1</v>
      </c>
      <c r="C71">
        <f>ROW(SmtRes!A24)</f>
        <v>24</v>
      </c>
      <c r="E71" t="s">
        <v>110</v>
      </c>
      <c r="F71" t="s">
        <v>111</v>
      </c>
      <c r="G71" t="s">
        <v>112</v>
      </c>
      <c r="H71" t="s">
        <v>17</v>
      </c>
      <c r="I71">
        <v>972</v>
      </c>
      <c r="J71">
        <v>0</v>
      </c>
      <c r="O71">
        <f t="shared" si="61"/>
        <v>0</v>
      </c>
      <c r="P71">
        <f t="shared" si="62"/>
        <v>0</v>
      </c>
      <c r="Q71">
        <f t="shared" si="63"/>
        <v>0</v>
      </c>
      <c r="R71">
        <f t="shared" si="64"/>
        <v>0</v>
      </c>
      <c r="S71">
        <f t="shared" si="65"/>
        <v>0</v>
      </c>
      <c r="T71">
        <f t="shared" si="66"/>
        <v>0</v>
      </c>
      <c r="U71">
        <f t="shared" si="67"/>
        <v>0</v>
      </c>
      <c r="V71">
        <f t="shared" si="68"/>
        <v>0</v>
      </c>
      <c r="W71">
        <f t="shared" si="69"/>
        <v>0</v>
      </c>
      <c r="X71">
        <f t="shared" si="70"/>
        <v>0</v>
      </c>
      <c r="Y71">
        <f t="shared" si="71"/>
        <v>0</v>
      </c>
      <c r="AA71">
        <v>33299672</v>
      </c>
      <c r="AB71">
        <f t="shared" si="72"/>
        <v>0</v>
      </c>
      <c r="AC71">
        <f t="shared" si="73"/>
        <v>0</v>
      </c>
      <c r="AD71">
        <f t="shared" si="74"/>
        <v>0</v>
      </c>
      <c r="AE71">
        <f t="shared" si="75"/>
        <v>0</v>
      </c>
      <c r="AF71">
        <f t="shared" si="76"/>
        <v>0</v>
      </c>
      <c r="AG71">
        <f t="shared" si="77"/>
        <v>0</v>
      </c>
      <c r="AH71">
        <f t="shared" si="78"/>
        <v>0</v>
      </c>
      <c r="AI71">
        <f t="shared" si="78"/>
        <v>0</v>
      </c>
      <c r="AJ71">
        <f t="shared" si="79"/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70</v>
      </c>
      <c r="AU71">
        <v>10</v>
      </c>
      <c r="AV71">
        <v>1</v>
      </c>
      <c r="AW71">
        <v>1</v>
      </c>
      <c r="AZ71">
        <v>1</v>
      </c>
      <c r="BA71">
        <v>1</v>
      </c>
      <c r="BB71">
        <v>1</v>
      </c>
      <c r="BC71">
        <v>1</v>
      </c>
      <c r="BD71" t="s">
        <v>3</v>
      </c>
      <c r="BE71" t="s">
        <v>3</v>
      </c>
      <c r="BF71" t="s">
        <v>3</v>
      </c>
      <c r="BG71" t="s">
        <v>3</v>
      </c>
      <c r="BH71">
        <v>0</v>
      </c>
      <c r="BI71">
        <v>4</v>
      </c>
      <c r="BJ71" t="s">
        <v>3</v>
      </c>
      <c r="BM71">
        <v>0</v>
      </c>
      <c r="BN71">
        <v>0</v>
      </c>
      <c r="BO71" t="s">
        <v>3</v>
      </c>
      <c r="BP71">
        <v>0</v>
      </c>
      <c r="BQ71">
        <v>1</v>
      </c>
      <c r="BR71">
        <v>0</v>
      </c>
      <c r="BS71">
        <v>1</v>
      </c>
      <c r="BT71">
        <v>1</v>
      </c>
      <c r="BU71">
        <v>1</v>
      </c>
      <c r="BV71">
        <v>1</v>
      </c>
      <c r="BW71">
        <v>1</v>
      </c>
      <c r="BX71">
        <v>1</v>
      </c>
      <c r="BY71" t="s">
        <v>3</v>
      </c>
      <c r="BZ71">
        <v>70</v>
      </c>
      <c r="CA71">
        <v>10</v>
      </c>
      <c r="CF71">
        <v>0</v>
      </c>
      <c r="CG71">
        <v>0</v>
      </c>
      <c r="CM71">
        <v>0</v>
      </c>
      <c r="CN71" t="s">
        <v>3</v>
      </c>
      <c r="CO71">
        <v>0</v>
      </c>
      <c r="CP71">
        <f t="shared" si="80"/>
        <v>0</v>
      </c>
      <c r="CQ71">
        <f t="shared" si="81"/>
        <v>0</v>
      </c>
      <c r="CR71">
        <f t="shared" si="82"/>
        <v>0</v>
      </c>
      <c r="CS71">
        <f t="shared" si="83"/>
        <v>0</v>
      </c>
      <c r="CT71">
        <f t="shared" si="84"/>
        <v>0</v>
      </c>
      <c r="CU71">
        <f t="shared" si="85"/>
        <v>0</v>
      </c>
      <c r="CV71">
        <f t="shared" si="86"/>
        <v>0</v>
      </c>
      <c r="CW71">
        <f t="shared" si="87"/>
        <v>0</v>
      </c>
      <c r="CX71">
        <f t="shared" si="88"/>
        <v>0</v>
      </c>
      <c r="CY71">
        <f t="shared" si="89"/>
        <v>0</v>
      </c>
      <c r="CZ71">
        <f t="shared" si="90"/>
        <v>0</v>
      </c>
      <c r="DC71" t="s">
        <v>3</v>
      </c>
      <c r="DD71" t="s">
        <v>3</v>
      </c>
      <c r="DE71" t="s">
        <v>3</v>
      </c>
      <c r="DF71" t="s">
        <v>3</v>
      </c>
      <c r="DG71" t="s">
        <v>3</v>
      </c>
      <c r="DH71" t="s">
        <v>3</v>
      </c>
      <c r="DI71" t="s">
        <v>3</v>
      </c>
      <c r="DJ71" t="s">
        <v>3</v>
      </c>
      <c r="DK71" t="s">
        <v>3</v>
      </c>
      <c r="DL71" t="s">
        <v>3</v>
      </c>
      <c r="DM71" t="s">
        <v>3</v>
      </c>
      <c r="DN71">
        <v>0</v>
      </c>
      <c r="DO71">
        <v>0</v>
      </c>
      <c r="DP71">
        <v>1</v>
      </c>
      <c r="DQ71">
        <v>1</v>
      </c>
      <c r="DU71">
        <v>1010</v>
      </c>
      <c r="DV71" t="s">
        <v>17</v>
      </c>
      <c r="DW71" t="s">
        <v>17</v>
      </c>
      <c r="DX71">
        <v>1</v>
      </c>
      <c r="EE71">
        <v>32893472</v>
      </c>
      <c r="EF71">
        <v>1</v>
      </c>
      <c r="EG71" t="s">
        <v>20</v>
      </c>
      <c r="EH71">
        <v>0</v>
      </c>
      <c r="EI71" t="s">
        <v>3</v>
      </c>
      <c r="EJ71">
        <v>4</v>
      </c>
      <c r="EK71">
        <v>0</v>
      </c>
      <c r="EL71" t="s">
        <v>21</v>
      </c>
      <c r="EM71" t="s">
        <v>22</v>
      </c>
      <c r="EO71" t="s">
        <v>3</v>
      </c>
      <c r="EQ71">
        <v>0</v>
      </c>
      <c r="ER71">
        <v>0</v>
      </c>
      <c r="ES71">
        <v>0</v>
      </c>
      <c r="ET71">
        <v>0</v>
      </c>
      <c r="EU71">
        <v>0</v>
      </c>
      <c r="EV71">
        <v>0</v>
      </c>
      <c r="EW71">
        <v>0</v>
      </c>
      <c r="EX71">
        <v>0</v>
      </c>
      <c r="EY71">
        <v>0</v>
      </c>
      <c r="FQ71">
        <v>0</v>
      </c>
      <c r="FR71">
        <f t="shared" si="91"/>
        <v>0</v>
      </c>
      <c r="FS71">
        <v>0</v>
      </c>
      <c r="FX71">
        <v>70</v>
      </c>
      <c r="FY71">
        <v>10</v>
      </c>
      <c r="GA71" t="s">
        <v>3</v>
      </c>
      <c r="GD71">
        <v>0</v>
      </c>
      <c r="GF71">
        <v>-959546464</v>
      </c>
      <c r="GG71">
        <v>2</v>
      </c>
      <c r="GH71">
        <v>0</v>
      </c>
      <c r="GI71">
        <v>-2</v>
      </c>
      <c r="GJ71">
        <v>0</v>
      </c>
      <c r="GK71">
        <f>ROUND(R71*(R12)/100,2)</f>
        <v>0</v>
      </c>
      <c r="GL71">
        <f t="shared" si="92"/>
        <v>0</v>
      </c>
      <c r="GM71">
        <f t="shared" si="93"/>
        <v>0</v>
      </c>
      <c r="GN71">
        <f t="shared" si="94"/>
        <v>0</v>
      </c>
      <c r="GO71">
        <f t="shared" si="95"/>
        <v>0</v>
      </c>
      <c r="GP71">
        <f t="shared" si="96"/>
        <v>0</v>
      </c>
      <c r="GR71">
        <v>0</v>
      </c>
      <c r="GS71">
        <v>3</v>
      </c>
      <c r="GT71">
        <v>0</v>
      </c>
      <c r="GU71" t="s">
        <v>3</v>
      </c>
      <c r="GV71">
        <f t="shared" si="97"/>
        <v>0</v>
      </c>
      <c r="GW71">
        <v>1</v>
      </c>
      <c r="GX71">
        <f t="shared" si="98"/>
        <v>0</v>
      </c>
      <c r="HA71">
        <v>0</v>
      </c>
      <c r="HB71">
        <v>0</v>
      </c>
      <c r="IK71">
        <v>0</v>
      </c>
    </row>
    <row r="72" spans="1:245" x14ac:dyDescent="0.2">
      <c r="A72">
        <v>18</v>
      </c>
      <c r="B72">
        <v>1</v>
      </c>
      <c r="C72">
        <v>19</v>
      </c>
      <c r="E72" t="s">
        <v>113</v>
      </c>
      <c r="F72" t="s">
        <v>37</v>
      </c>
      <c r="G72" t="s">
        <v>114</v>
      </c>
      <c r="H72" t="s">
        <v>39</v>
      </c>
      <c r="I72">
        <v>408.23829999999998</v>
      </c>
      <c r="J72">
        <v>0.42</v>
      </c>
      <c r="O72">
        <f t="shared" si="61"/>
        <v>93535.56</v>
      </c>
      <c r="P72">
        <f t="shared" si="62"/>
        <v>0</v>
      </c>
      <c r="Q72">
        <f t="shared" si="63"/>
        <v>0</v>
      </c>
      <c r="R72">
        <f t="shared" si="64"/>
        <v>0</v>
      </c>
      <c r="S72">
        <f t="shared" si="65"/>
        <v>93535.56</v>
      </c>
      <c r="T72">
        <f t="shared" si="66"/>
        <v>0</v>
      </c>
      <c r="U72">
        <f t="shared" si="67"/>
        <v>0</v>
      </c>
      <c r="V72">
        <f t="shared" si="68"/>
        <v>0</v>
      </c>
      <c r="W72">
        <f t="shared" si="69"/>
        <v>0</v>
      </c>
      <c r="X72">
        <f t="shared" si="70"/>
        <v>65474.89</v>
      </c>
      <c r="Y72">
        <f t="shared" si="71"/>
        <v>9353.56</v>
      </c>
      <c r="AA72">
        <v>33299672</v>
      </c>
      <c r="AB72">
        <f t="shared" si="72"/>
        <v>229.12</v>
      </c>
      <c r="AC72">
        <f t="shared" si="73"/>
        <v>0</v>
      </c>
      <c r="AD72">
        <f t="shared" si="74"/>
        <v>0</v>
      </c>
      <c r="AE72">
        <f t="shared" si="75"/>
        <v>0</v>
      </c>
      <c r="AF72">
        <f t="shared" si="76"/>
        <v>229.12</v>
      </c>
      <c r="AG72">
        <f t="shared" si="77"/>
        <v>0</v>
      </c>
      <c r="AH72">
        <f>((EW72*4))</f>
        <v>0</v>
      </c>
      <c r="AI72">
        <f t="shared" ref="AI72:AI80" si="99">(EX72)</f>
        <v>0</v>
      </c>
      <c r="AJ72">
        <f t="shared" si="79"/>
        <v>0</v>
      </c>
      <c r="AK72">
        <v>229.12</v>
      </c>
      <c r="AL72">
        <v>0</v>
      </c>
      <c r="AM72">
        <v>0</v>
      </c>
      <c r="AN72">
        <v>0</v>
      </c>
      <c r="AO72">
        <v>229.12</v>
      </c>
      <c r="AP72">
        <v>0</v>
      </c>
      <c r="AQ72">
        <v>0</v>
      </c>
      <c r="AR72">
        <v>0</v>
      </c>
      <c r="AS72">
        <v>0</v>
      </c>
      <c r="AT72">
        <v>70</v>
      </c>
      <c r="AU72">
        <v>10</v>
      </c>
      <c r="AV72">
        <v>1</v>
      </c>
      <c r="AW72">
        <v>1</v>
      </c>
      <c r="AZ72">
        <v>1</v>
      </c>
      <c r="BA72">
        <v>1</v>
      </c>
      <c r="BB72">
        <v>1</v>
      </c>
      <c r="BC72">
        <v>1</v>
      </c>
      <c r="BD72" t="s">
        <v>3</v>
      </c>
      <c r="BE72" t="s">
        <v>3</v>
      </c>
      <c r="BF72" t="s">
        <v>3</v>
      </c>
      <c r="BG72" t="s">
        <v>3</v>
      </c>
      <c r="BH72">
        <v>1</v>
      </c>
      <c r="BI72">
        <v>4</v>
      </c>
      <c r="BJ72" t="s">
        <v>3</v>
      </c>
      <c r="BM72">
        <v>0</v>
      </c>
      <c r="BN72">
        <v>0</v>
      </c>
      <c r="BO72" t="s">
        <v>3</v>
      </c>
      <c r="BP72">
        <v>0</v>
      </c>
      <c r="BQ72">
        <v>1</v>
      </c>
      <c r="BR72">
        <v>0</v>
      </c>
      <c r="BS72">
        <v>1</v>
      </c>
      <c r="BT72">
        <v>1</v>
      </c>
      <c r="BU72">
        <v>1</v>
      </c>
      <c r="BV72">
        <v>1</v>
      </c>
      <c r="BW72">
        <v>1</v>
      </c>
      <c r="BX72">
        <v>1</v>
      </c>
      <c r="BY72" t="s">
        <v>3</v>
      </c>
      <c r="BZ72">
        <v>70</v>
      </c>
      <c r="CA72">
        <v>10</v>
      </c>
      <c r="CF72">
        <v>0</v>
      </c>
      <c r="CG72">
        <v>0</v>
      </c>
      <c r="CM72">
        <v>0</v>
      </c>
      <c r="CN72" t="s">
        <v>3</v>
      </c>
      <c r="CO72">
        <v>0</v>
      </c>
      <c r="CP72">
        <f t="shared" si="80"/>
        <v>93535.56</v>
      </c>
      <c r="CQ72">
        <f t="shared" si="81"/>
        <v>0</v>
      </c>
      <c r="CR72">
        <f t="shared" si="82"/>
        <v>0</v>
      </c>
      <c r="CS72">
        <f t="shared" si="83"/>
        <v>0</v>
      </c>
      <c r="CT72">
        <f t="shared" si="84"/>
        <v>229.12</v>
      </c>
      <c r="CU72">
        <f t="shared" si="85"/>
        <v>0</v>
      </c>
      <c r="CV72">
        <f t="shared" si="86"/>
        <v>0</v>
      </c>
      <c r="CW72">
        <f t="shared" si="87"/>
        <v>0</v>
      </c>
      <c r="CX72">
        <f t="shared" si="88"/>
        <v>0</v>
      </c>
      <c r="CY72">
        <f t="shared" si="89"/>
        <v>65474.892</v>
      </c>
      <c r="CZ72">
        <f t="shared" si="90"/>
        <v>9353.5560000000005</v>
      </c>
      <c r="DC72" t="s">
        <v>3</v>
      </c>
      <c r="DD72" t="s">
        <v>3</v>
      </c>
      <c r="DE72" t="s">
        <v>3</v>
      </c>
      <c r="DF72" t="s">
        <v>3</v>
      </c>
      <c r="DG72" t="s">
        <v>3</v>
      </c>
      <c r="DH72" t="s">
        <v>3</v>
      </c>
      <c r="DI72" t="s">
        <v>115</v>
      </c>
      <c r="DJ72" t="s">
        <v>3</v>
      </c>
      <c r="DK72" t="s">
        <v>3</v>
      </c>
      <c r="DL72" t="s">
        <v>3</v>
      </c>
      <c r="DM72" t="s">
        <v>3</v>
      </c>
      <c r="DN72">
        <v>0</v>
      </c>
      <c r="DO72">
        <v>0</v>
      </c>
      <c r="DP72">
        <v>1</v>
      </c>
      <c r="DQ72">
        <v>1</v>
      </c>
      <c r="DU72">
        <v>1013</v>
      </c>
      <c r="DV72" t="s">
        <v>39</v>
      </c>
      <c r="DW72" t="s">
        <v>39</v>
      </c>
      <c r="DX72">
        <v>1</v>
      </c>
      <c r="EE72">
        <v>32893472</v>
      </c>
      <c r="EF72">
        <v>1</v>
      </c>
      <c r="EG72" t="s">
        <v>20</v>
      </c>
      <c r="EH72">
        <v>0</v>
      </c>
      <c r="EI72" t="s">
        <v>3</v>
      </c>
      <c r="EJ72">
        <v>4</v>
      </c>
      <c r="EK72">
        <v>0</v>
      </c>
      <c r="EL72" t="s">
        <v>21</v>
      </c>
      <c r="EM72" t="s">
        <v>22</v>
      </c>
      <c r="EO72" t="s">
        <v>3</v>
      </c>
      <c r="EQ72">
        <v>0</v>
      </c>
      <c r="ER72">
        <v>155.85</v>
      </c>
      <c r="ES72">
        <v>0</v>
      </c>
      <c r="ET72">
        <v>0</v>
      </c>
      <c r="EU72">
        <v>0</v>
      </c>
      <c r="EV72">
        <v>229.12</v>
      </c>
      <c r="EW72">
        <v>0</v>
      </c>
      <c r="EX72">
        <v>0</v>
      </c>
      <c r="FQ72">
        <v>0</v>
      </c>
      <c r="FR72">
        <f t="shared" si="91"/>
        <v>0</v>
      </c>
      <c r="FS72">
        <v>1</v>
      </c>
      <c r="FX72">
        <v>70</v>
      </c>
      <c r="FY72">
        <v>10</v>
      </c>
      <c r="GA72" t="s">
        <v>3</v>
      </c>
      <c r="GD72">
        <v>0</v>
      </c>
      <c r="GF72">
        <v>-859335633</v>
      </c>
      <c r="GG72">
        <v>2</v>
      </c>
      <c r="GH72">
        <v>2</v>
      </c>
      <c r="GI72">
        <v>-2</v>
      </c>
      <c r="GJ72">
        <v>0</v>
      </c>
      <c r="GK72">
        <f>ROUND(R72*(R12)/100,2)</f>
        <v>0</v>
      </c>
      <c r="GL72">
        <f t="shared" si="92"/>
        <v>0</v>
      </c>
      <c r="GM72">
        <f t="shared" si="93"/>
        <v>168364.01</v>
      </c>
      <c r="GN72">
        <f t="shared" si="94"/>
        <v>0</v>
      </c>
      <c r="GO72">
        <f t="shared" si="95"/>
        <v>0</v>
      </c>
      <c r="GP72">
        <f t="shared" si="96"/>
        <v>168364.01</v>
      </c>
      <c r="GR72">
        <v>0</v>
      </c>
      <c r="GS72">
        <v>7</v>
      </c>
      <c r="GT72">
        <v>0</v>
      </c>
      <c r="GU72" t="s">
        <v>3</v>
      </c>
      <c r="GV72">
        <f t="shared" si="97"/>
        <v>0</v>
      </c>
      <c r="GW72">
        <v>1</v>
      </c>
      <c r="GX72">
        <f t="shared" si="98"/>
        <v>0</v>
      </c>
      <c r="HA72">
        <v>0</v>
      </c>
      <c r="HB72">
        <v>0</v>
      </c>
      <c r="IK72">
        <v>0</v>
      </c>
    </row>
    <row r="73" spans="1:245" x14ac:dyDescent="0.2">
      <c r="A73">
        <v>18</v>
      </c>
      <c r="B73">
        <v>1</v>
      </c>
      <c r="C73">
        <v>20</v>
      </c>
      <c r="E73" t="s">
        <v>116</v>
      </c>
      <c r="F73" t="s">
        <v>37</v>
      </c>
      <c r="G73" t="s">
        <v>38</v>
      </c>
      <c r="H73" t="s">
        <v>39</v>
      </c>
      <c r="I73">
        <v>816.46829000000002</v>
      </c>
      <c r="J73">
        <v>0.84</v>
      </c>
      <c r="O73">
        <f t="shared" si="61"/>
        <v>162771.12</v>
      </c>
      <c r="P73">
        <f t="shared" si="62"/>
        <v>0</v>
      </c>
      <c r="Q73">
        <f t="shared" si="63"/>
        <v>0</v>
      </c>
      <c r="R73">
        <f t="shared" si="64"/>
        <v>0</v>
      </c>
      <c r="S73">
        <f t="shared" si="65"/>
        <v>162771.12</v>
      </c>
      <c r="T73">
        <f t="shared" si="66"/>
        <v>0</v>
      </c>
      <c r="U73">
        <f t="shared" si="67"/>
        <v>0</v>
      </c>
      <c r="V73">
        <f t="shared" si="68"/>
        <v>0</v>
      </c>
      <c r="W73">
        <f t="shared" si="69"/>
        <v>0</v>
      </c>
      <c r="X73">
        <f t="shared" si="70"/>
        <v>113939.78</v>
      </c>
      <c r="Y73">
        <f t="shared" si="71"/>
        <v>16277.11</v>
      </c>
      <c r="AA73">
        <v>33299672</v>
      </c>
      <c r="AB73">
        <f t="shared" si="72"/>
        <v>199.36</v>
      </c>
      <c r="AC73">
        <f t="shared" si="73"/>
        <v>0</v>
      </c>
      <c r="AD73">
        <f t="shared" si="74"/>
        <v>0</v>
      </c>
      <c r="AE73">
        <f t="shared" si="75"/>
        <v>0</v>
      </c>
      <c r="AF73">
        <f t="shared" si="76"/>
        <v>199.36</v>
      </c>
      <c r="AG73">
        <f t="shared" si="77"/>
        <v>0</v>
      </c>
      <c r="AH73">
        <f>((EW73*4))</f>
        <v>0</v>
      </c>
      <c r="AI73">
        <f t="shared" si="99"/>
        <v>0</v>
      </c>
      <c r="AJ73">
        <f t="shared" si="79"/>
        <v>0</v>
      </c>
      <c r="AK73">
        <v>199.36</v>
      </c>
      <c r="AL73">
        <v>0</v>
      </c>
      <c r="AM73">
        <v>0</v>
      </c>
      <c r="AN73">
        <v>0</v>
      </c>
      <c r="AO73">
        <v>199.36</v>
      </c>
      <c r="AP73">
        <v>0</v>
      </c>
      <c r="AQ73">
        <v>0</v>
      </c>
      <c r="AR73">
        <v>0</v>
      </c>
      <c r="AS73">
        <v>0</v>
      </c>
      <c r="AT73">
        <v>70</v>
      </c>
      <c r="AU73">
        <v>10</v>
      </c>
      <c r="AV73">
        <v>1</v>
      </c>
      <c r="AW73">
        <v>1</v>
      </c>
      <c r="AZ73">
        <v>1</v>
      </c>
      <c r="BA73">
        <v>1</v>
      </c>
      <c r="BB73">
        <v>1</v>
      </c>
      <c r="BC73">
        <v>1</v>
      </c>
      <c r="BD73" t="s">
        <v>3</v>
      </c>
      <c r="BE73" t="s">
        <v>3</v>
      </c>
      <c r="BF73" t="s">
        <v>3</v>
      </c>
      <c r="BG73" t="s">
        <v>3</v>
      </c>
      <c r="BH73">
        <v>1</v>
      </c>
      <c r="BI73">
        <v>4</v>
      </c>
      <c r="BJ73" t="s">
        <v>3</v>
      </c>
      <c r="BM73">
        <v>0</v>
      </c>
      <c r="BN73">
        <v>0</v>
      </c>
      <c r="BO73" t="s">
        <v>3</v>
      </c>
      <c r="BP73">
        <v>0</v>
      </c>
      <c r="BQ73">
        <v>1</v>
      </c>
      <c r="BR73">
        <v>0</v>
      </c>
      <c r="BS73">
        <v>1</v>
      </c>
      <c r="BT73">
        <v>1</v>
      </c>
      <c r="BU73">
        <v>1</v>
      </c>
      <c r="BV73">
        <v>1</v>
      </c>
      <c r="BW73">
        <v>1</v>
      </c>
      <c r="BX73">
        <v>1</v>
      </c>
      <c r="BY73" t="s">
        <v>3</v>
      </c>
      <c r="BZ73">
        <v>70</v>
      </c>
      <c r="CA73">
        <v>10</v>
      </c>
      <c r="CF73">
        <v>0</v>
      </c>
      <c r="CG73">
        <v>0</v>
      </c>
      <c r="CM73">
        <v>0</v>
      </c>
      <c r="CN73" t="s">
        <v>3</v>
      </c>
      <c r="CO73">
        <v>0</v>
      </c>
      <c r="CP73">
        <f t="shared" si="80"/>
        <v>162771.12</v>
      </c>
      <c r="CQ73">
        <f t="shared" si="81"/>
        <v>0</v>
      </c>
      <c r="CR73">
        <f t="shared" si="82"/>
        <v>0</v>
      </c>
      <c r="CS73">
        <f t="shared" si="83"/>
        <v>0</v>
      </c>
      <c r="CT73">
        <f t="shared" si="84"/>
        <v>199.36</v>
      </c>
      <c r="CU73">
        <f t="shared" si="85"/>
        <v>0</v>
      </c>
      <c r="CV73">
        <f t="shared" si="86"/>
        <v>0</v>
      </c>
      <c r="CW73">
        <f t="shared" si="87"/>
        <v>0</v>
      </c>
      <c r="CX73">
        <f t="shared" si="88"/>
        <v>0</v>
      </c>
      <c r="CY73">
        <f t="shared" si="89"/>
        <v>113939.784</v>
      </c>
      <c r="CZ73">
        <f t="shared" si="90"/>
        <v>16277.111999999999</v>
      </c>
      <c r="DC73" t="s">
        <v>3</v>
      </c>
      <c r="DD73" t="s">
        <v>3</v>
      </c>
      <c r="DE73" t="s">
        <v>3</v>
      </c>
      <c r="DF73" t="s">
        <v>3</v>
      </c>
      <c r="DG73" t="s">
        <v>3</v>
      </c>
      <c r="DH73" t="s">
        <v>3</v>
      </c>
      <c r="DI73" t="s">
        <v>115</v>
      </c>
      <c r="DJ73" t="s">
        <v>3</v>
      </c>
      <c r="DK73" t="s">
        <v>3</v>
      </c>
      <c r="DL73" t="s">
        <v>3</v>
      </c>
      <c r="DM73" t="s">
        <v>3</v>
      </c>
      <c r="DN73">
        <v>0</v>
      </c>
      <c r="DO73">
        <v>0</v>
      </c>
      <c r="DP73">
        <v>1</v>
      </c>
      <c r="DQ73">
        <v>1</v>
      </c>
      <c r="DU73">
        <v>1013</v>
      </c>
      <c r="DV73" t="s">
        <v>39</v>
      </c>
      <c r="DW73" t="s">
        <v>39</v>
      </c>
      <c r="DX73">
        <v>1</v>
      </c>
      <c r="EE73">
        <v>32893472</v>
      </c>
      <c r="EF73">
        <v>1</v>
      </c>
      <c r="EG73" t="s">
        <v>20</v>
      </c>
      <c r="EH73">
        <v>0</v>
      </c>
      <c r="EI73" t="s">
        <v>3</v>
      </c>
      <c r="EJ73">
        <v>4</v>
      </c>
      <c r="EK73">
        <v>0</v>
      </c>
      <c r="EL73" t="s">
        <v>21</v>
      </c>
      <c r="EM73" t="s">
        <v>22</v>
      </c>
      <c r="EO73" t="s">
        <v>3</v>
      </c>
      <c r="EQ73">
        <v>0</v>
      </c>
      <c r="ER73">
        <v>155.85</v>
      </c>
      <c r="ES73">
        <v>0</v>
      </c>
      <c r="ET73">
        <v>0</v>
      </c>
      <c r="EU73">
        <v>0</v>
      </c>
      <c r="EV73">
        <v>199.36</v>
      </c>
      <c r="EW73">
        <v>0</v>
      </c>
      <c r="EX73">
        <v>0</v>
      </c>
      <c r="FQ73">
        <v>0</v>
      </c>
      <c r="FR73">
        <f t="shared" si="91"/>
        <v>0</v>
      </c>
      <c r="FS73">
        <v>1</v>
      </c>
      <c r="FX73">
        <v>70</v>
      </c>
      <c r="FY73">
        <v>10</v>
      </c>
      <c r="GA73" t="s">
        <v>3</v>
      </c>
      <c r="GD73">
        <v>0</v>
      </c>
      <c r="GF73">
        <v>-2006313420</v>
      </c>
      <c r="GG73">
        <v>2</v>
      </c>
      <c r="GH73">
        <v>2</v>
      </c>
      <c r="GI73">
        <v>-2</v>
      </c>
      <c r="GJ73">
        <v>0</v>
      </c>
      <c r="GK73">
        <f>ROUND(R73*(R12)/100,2)</f>
        <v>0</v>
      </c>
      <c r="GL73">
        <f t="shared" si="92"/>
        <v>0</v>
      </c>
      <c r="GM73">
        <f t="shared" si="93"/>
        <v>292988.01</v>
      </c>
      <c r="GN73">
        <f t="shared" si="94"/>
        <v>0</v>
      </c>
      <c r="GO73">
        <f t="shared" si="95"/>
        <v>0</v>
      </c>
      <c r="GP73">
        <f t="shared" si="96"/>
        <v>292988.01</v>
      </c>
      <c r="GR73">
        <v>0</v>
      </c>
      <c r="GS73">
        <v>7</v>
      </c>
      <c r="GT73">
        <v>0</v>
      </c>
      <c r="GU73" t="s">
        <v>3</v>
      </c>
      <c r="GV73">
        <f t="shared" si="97"/>
        <v>0</v>
      </c>
      <c r="GW73">
        <v>1</v>
      </c>
      <c r="GX73">
        <f t="shared" si="98"/>
        <v>0</v>
      </c>
      <c r="HA73">
        <v>0</v>
      </c>
      <c r="HB73">
        <v>0</v>
      </c>
      <c r="IK73">
        <v>0</v>
      </c>
    </row>
    <row r="74" spans="1:245" x14ac:dyDescent="0.2">
      <c r="A74">
        <v>18</v>
      </c>
      <c r="B74">
        <v>1</v>
      </c>
      <c r="C74">
        <v>23</v>
      </c>
      <c r="E74" t="s">
        <v>117</v>
      </c>
      <c r="F74" t="s">
        <v>118</v>
      </c>
      <c r="G74" t="s">
        <v>119</v>
      </c>
      <c r="H74" t="s">
        <v>43</v>
      </c>
      <c r="I74">
        <v>408.23584060000002</v>
      </c>
      <c r="J74">
        <v>0.42</v>
      </c>
      <c r="O74">
        <f t="shared" si="61"/>
        <v>400687.56</v>
      </c>
      <c r="P74">
        <f t="shared" si="62"/>
        <v>0</v>
      </c>
      <c r="Q74">
        <f t="shared" si="63"/>
        <v>400687.56</v>
      </c>
      <c r="R74">
        <f t="shared" si="64"/>
        <v>153488.51</v>
      </c>
      <c r="S74">
        <f t="shared" si="65"/>
        <v>0</v>
      </c>
      <c r="T74">
        <f t="shared" si="66"/>
        <v>0</v>
      </c>
      <c r="U74">
        <f t="shared" si="67"/>
        <v>0</v>
      </c>
      <c r="V74">
        <f t="shared" si="68"/>
        <v>0</v>
      </c>
      <c r="W74">
        <f t="shared" si="69"/>
        <v>0</v>
      </c>
      <c r="X74">
        <f t="shared" si="70"/>
        <v>0</v>
      </c>
      <c r="Y74">
        <f t="shared" si="71"/>
        <v>0</v>
      </c>
      <c r="AA74">
        <v>33299672</v>
      </c>
      <c r="AB74">
        <f t="shared" si="72"/>
        <v>981.51</v>
      </c>
      <c r="AC74">
        <f t="shared" si="73"/>
        <v>0</v>
      </c>
      <c r="AD74">
        <f t="shared" si="74"/>
        <v>981.51</v>
      </c>
      <c r="AE74">
        <f t="shared" si="75"/>
        <v>375.98</v>
      </c>
      <c r="AF74">
        <f t="shared" si="76"/>
        <v>0</v>
      </c>
      <c r="AG74">
        <f t="shared" si="77"/>
        <v>0</v>
      </c>
      <c r="AH74">
        <f t="shared" ref="AH74:AH80" si="100">(EW74)</f>
        <v>0</v>
      </c>
      <c r="AI74">
        <f t="shared" si="99"/>
        <v>0</v>
      </c>
      <c r="AJ74">
        <f t="shared" si="79"/>
        <v>0</v>
      </c>
      <c r="AK74">
        <v>981.51</v>
      </c>
      <c r="AL74">
        <v>0</v>
      </c>
      <c r="AM74">
        <v>981.51</v>
      </c>
      <c r="AN74">
        <v>375.98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70</v>
      </c>
      <c r="AU74">
        <v>10</v>
      </c>
      <c r="AV74">
        <v>1</v>
      </c>
      <c r="AW74">
        <v>1</v>
      </c>
      <c r="AZ74">
        <v>1</v>
      </c>
      <c r="BA74">
        <v>1</v>
      </c>
      <c r="BB74">
        <v>1</v>
      </c>
      <c r="BC74">
        <v>1</v>
      </c>
      <c r="BD74" t="s">
        <v>3</v>
      </c>
      <c r="BE74" t="s">
        <v>3</v>
      </c>
      <c r="BF74" t="s">
        <v>3</v>
      </c>
      <c r="BG74" t="s">
        <v>3</v>
      </c>
      <c r="BH74">
        <v>2</v>
      </c>
      <c r="BI74">
        <v>4</v>
      </c>
      <c r="BJ74" t="s">
        <v>120</v>
      </c>
      <c r="BM74">
        <v>0</v>
      </c>
      <c r="BN74">
        <v>0</v>
      </c>
      <c r="BO74" t="s">
        <v>3</v>
      </c>
      <c r="BP74">
        <v>0</v>
      </c>
      <c r="BQ74">
        <v>1</v>
      </c>
      <c r="BR74">
        <v>0</v>
      </c>
      <c r="BS74">
        <v>1</v>
      </c>
      <c r="BT74">
        <v>1</v>
      </c>
      <c r="BU74">
        <v>1</v>
      </c>
      <c r="BV74">
        <v>1</v>
      </c>
      <c r="BW74">
        <v>1</v>
      </c>
      <c r="BX74">
        <v>1</v>
      </c>
      <c r="BY74" t="s">
        <v>3</v>
      </c>
      <c r="BZ74">
        <v>70</v>
      </c>
      <c r="CA74">
        <v>10</v>
      </c>
      <c r="CF74">
        <v>0</v>
      </c>
      <c r="CG74">
        <v>0</v>
      </c>
      <c r="CM74">
        <v>0</v>
      </c>
      <c r="CN74" t="s">
        <v>3</v>
      </c>
      <c r="CO74">
        <v>0</v>
      </c>
      <c r="CP74">
        <f t="shared" si="80"/>
        <v>400687.56</v>
      </c>
      <c r="CQ74">
        <f t="shared" si="81"/>
        <v>0</v>
      </c>
      <c r="CR74">
        <f t="shared" si="82"/>
        <v>981.51</v>
      </c>
      <c r="CS74">
        <f t="shared" si="83"/>
        <v>375.98</v>
      </c>
      <c r="CT74">
        <f t="shared" si="84"/>
        <v>0</v>
      </c>
      <c r="CU74">
        <f t="shared" si="85"/>
        <v>0</v>
      </c>
      <c r="CV74">
        <f t="shared" si="86"/>
        <v>0</v>
      </c>
      <c r="CW74">
        <f t="shared" si="87"/>
        <v>0</v>
      </c>
      <c r="CX74">
        <f t="shared" si="88"/>
        <v>0</v>
      </c>
      <c r="CY74">
        <f t="shared" si="89"/>
        <v>0</v>
      </c>
      <c r="CZ74">
        <f t="shared" si="90"/>
        <v>0</v>
      </c>
      <c r="DC74" t="s">
        <v>3</v>
      </c>
      <c r="DD74" t="s">
        <v>3</v>
      </c>
      <c r="DE74" t="s">
        <v>3</v>
      </c>
      <c r="DF74" t="s">
        <v>3</v>
      </c>
      <c r="DG74" t="s">
        <v>3</v>
      </c>
      <c r="DH74" t="s">
        <v>3</v>
      </c>
      <c r="DI74" t="s">
        <v>3</v>
      </c>
      <c r="DJ74" t="s">
        <v>3</v>
      </c>
      <c r="DK74" t="s">
        <v>3</v>
      </c>
      <c r="DL74" t="s">
        <v>3</v>
      </c>
      <c r="DM74" t="s">
        <v>3</v>
      </c>
      <c r="DN74">
        <v>0</v>
      </c>
      <c r="DO74">
        <v>0</v>
      </c>
      <c r="DP74">
        <v>1</v>
      </c>
      <c r="DQ74">
        <v>1</v>
      </c>
      <c r="DU74">
        <v>1011</v>
      </c>
      <c r="DV74" t="s">
        <v>43</v>
      </c>
      <c r="DW74" t="s">
        <v>43</v>
      </c>
      <c r="DX74">
        <v>1</v>
      </c>
      <c r="EE74">
        <v>32893472</v>
      </c>
      <c r="EF74">
        <v>1</v>
      </c>
      <c r="EG74" t="s">
        <v>20</v>
      </c>
      <c r="EH74">
        <v>0</v>
      </c>
      <c r="EI74" t="s">
        <v>3</v>
      </c>
      <c r="EJ74">
        <v>4</v>
      </c>
      <c r="EK74">
        <v>0</v>
      </c>
      <c r="EL74" t="s">
        <v>21</v>
      </c>
      <c r="EM74" t="s">
        <v>22</v>
      </c>
      <c r="EO74" t="s">
        <v>3</v>
      </c>
      <c r="EQ74">
        <v>0</v>
      </c>
      <c r="ER74">
        <v>944.53</v>
      </c>
      <c r="ES74">
        <v>0</v>
      </c>
      <c r="ET74">
        <v>981.51</v>
      </c>
      <c r="EU74">
        <v>375.98</v>
      </c>
      <c r="EV74">
        <v>0</v>
      </c>
      <c r="EW74">
        <v>0</v>
      </c>
      <c r="EX74">
        <v>0</v>
      </c>
      <c r="FQ74">
        <v>0</v>
      </c>
      <c r="FR74">
        <f t="shared" si="91"/>
        <v>0</v>
      </c>
      <c r="FS74">
        <v>0</v>
      </c>
      <c r="FX74">
        <v>70</v>
      </c>
      <c r="FY74">
        <v>10</v>
      </c>
      <c r="GA74" t="s">
        <v>3</v>
      </c>
      <c r="GD74">
        <v>0</v>
      </c>
      <c r="GF74">
        <v>1543132904</v>
      </c>
      <c r="GG74">
        <v>2</v>
      </c>
      <c r="GH74">
        <v>2</v>
      </c>
      <c r="GI74">
        <v>-2</v>
      </c>
      <c r="GJ74">
        <v>0</v>
      </c>
      <c r="GK74">
        <f>ROUND(R74*(R12)/100,2)</f>
        <v>165767.59</v>
      </c>
      <c r="GL74">
        <f t="shared" si="92"/>
        <v>0</v>
      </c>
      <c r="GM74">
        <f t="shared" si="93"/>
        <v>566455.15</v>
      </c>
      <c r="GN74">
        <f t="shared" si="94"/>
        <v>0</v>
      </c>
      <c r="GO74">
        <f t="shared" si="95"/>
        <v>0</v>
      </c>
      <c r="GP74">
        <f t="shared" si="96"/>
        <v>566455.15</v>
      </c>
      <c r="GR74">
        <v>0</v>
      </c>
      <c r="GS74">
        <v>0</v>
      </c>
      <c r="GT74">
        <v>0</v>
      </c>
      <c r="GU74" t="s">
        <v>3</v>
      </c>
      <c r="GV74">
        <f t="shared" si="97"/>
        <v>0</v>
      </c>
      <c r="GW74">
        <v>1</v>
      </c>
      <c r="GX74">
        <f t="shared" si="98"/>
        <v>0</v>
      </c>
      <c r="HA74">
        <v>0</v>
      </c>
      <c r="HB74">
        <v>0</v>
      </c>
      <c r="IK74">
        <v>0</v>
      </c>
    </row>
    <row r="75" spans="1:245" x14ac:dyDescent="0.2">
      <c r="A75">
        <v>18</v>
      </c>
      <c r="B75">
        <v>1</v>
      </c>
      <c r="C75">
        <v>22</v>
      </c>
      <c r="E75" t="s">
        <v>121</v>
      </c>
      <c r="F75" t="s">
        <v>122</v>
      </c>
      <c r="G75" t="s">
        <v>123</v>
      </c>
      <c r="H75" t="s">
        <v>43</v>
      </c>
      <c r="I75">
        <v>408.23907600000001</v>
      </c>
      <c r="J75">
        <v>0.42</v>
      </c>
      <c r="O75">
        <f t="shared" si="61"/>
        <v>343631.16</v>
      </c>
      <c r="P75">
        <f t="shared" si="62"/>
        <v>0</v>
      </c>
      <c r="Q75">
        <f t="shared" si="63"/>
        <v>343631.16</v>
      </c>
      <c r="R75">
        <f t="shared" si="64"/>
        <v>145255.54999999999</v>
      </c>
      <c r="S75">
        <f t="shared" si="65"/>
        <v>0</v>
      </c>
      <c r="T75">
        <f t="shared" si="66"/>
        <v>0</v>
      </c>
      <c r="U75">
        <f t="shared" si="67"/>
        <v>0</v>
      </c>
      <c r="V75">
        <f t="shared" si="68"/>
        <v>0</v>
      </c>
      <c r="W75">
        <f t="shared" si="69"/>
        <v>0</v>
      </c>
      <c r="X75">
        <f t="shared" si="70"/>
        <v>0</v>
      </c>
      <c r="Y75">
        <f t="shared" si="71"/>
        <v>0</v>
      </c>
      <c r="AA75">
        <v>33299672</v>
      </c>
      <c r="AB75">
        <f t="shared" si="72"/>
        <v>841.74</v>
      </c>
      <c r="AC75">
        <f t="shared" si="73"/>
        <v>0</v>
      </c>
      <c r="AD75">
        <f t="shared" si="74"/>
        <v>841.74</v>
      </c>
      <c r="AE75">
        <f t="shared" si="75"/>
        <v>355.81</v>
      </c>
      <c r="AF75">
        <f t="shared" si="76"/>
        <v>0</v>
      </c>
      <c r="AG75">
        <f t="shared" si="77"/>
        <v>0</v>
      </c>
      <c r="AH75">
        <f t="shared" si="100"/>
        <v>0</v>
      </c>
      <c r="AI75">
        <f t="shared" si="99"/>
        <v>0</v>
      </c>
      <c r="AJ75">
        <f t="shared" si="79"/>
        <v>0</v>
      </c>
      <c r="AK75">
        <v>841.74</v>
      </c>
      <c r="AL75">
        <v>0</v>
      </c>
      <c r="AM75">
        <v>841.74</v>
      </c>
      <c r="AN75">
        <v>355.81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70</v>
      </c>
      <c r="AU75">
        <v>10</v>
      </c>
      <c r="AV75">
        <v>1</v>
      </c>
      <c r="AW75">
        <v>1</v>
      </c>
      <c r="AZ75">
        <v>1</v>
      </c>
      <c r="BA75">
        <v>1</v>
      </c>
      <c r="BB75">
        <v>1</v>
      </c>
      <c r="BC75">
        <v>1</v>
      </c>
      <c r="BD75" t="s">
        <v>3</v>
      </c>
      <c r="BE75" t="s">
        <v>3</v>
      </c>
      <c r="BF75" t="s">
        <v>3</v>
      </c>
      <c r="BG75" t="s">
        <v>3</v>
      </c>
      <c r="BH75">
        <v>2</v>
      </c>
      <c r="BI75">
        <v>4</v>
      </c>
      <c r="BJ75" t="s">
        <v>124</v>
      </c>
      <c r="BM75">
        <v>0</v>
      </c>
      <c r="BN75">
        <v>0</v>
      </c>
      <c r="BO75" t="s">
        <v>3</v>
      </c>
      <c r="BP75">
        <v>0</v>
      </c>
      <c r="BQ75">
        <v>1</v>
      </c>
      <c r="BR75">
        <v>0</v>
      </c>
      <c r="BS75">
        <v>1</v>
      </c>
      <c r="BT75">
        <v>1</v>
      </c>
      <c r="BU75">
        <v>1</v>
      </c>
      <c r="BV75">
        <v>1</v>
      </c>
      <c r="BW75">
        <v>1</v>
      </c>
      <c r="BX75">
        <v>1</v>
      </c>
      <c r="BY75" t="s">
        <v>3</v>
      </c>
      <c r="BZ75">
        <v>70</v>
      </c>
      <c r="CA75">
        <v>10</v>
      </c>
      <c r="CF75">
        <v>0</v>
      </c>
      <c r="CG75">
        <v>0</v>
      </c>
      <c r="CM75">
        <v>0</v>
      </c>
      <c r="CN75" t="s">
        <v>3</v>
      </c>
      <c r="CO75">
        <v>0</v>
      </c>
      <c r="CP75">
        <f t="shared" si="80"/>
        <v>343631.16</v>
      </c>
      <c r="CQ75">
        <f t="shared" si="81"/>
        <v>0</v>
      </c>
      <c r="CR75">
        <f t="shared" si="82"/>
        <v>841.74</v>
      </c>
      <c r="CS75">
        <f t="shared" si="83"/>
        <v>355.81</v>
      </c>
      <c r="CT75">
        <f t="shared" si="84"/>
        <v>0</v>
      </c>
      <c r="CU75">
        <f t="shared" si="85"/>
        <v>0</v>
      </c>
      <c r="CV75">
        <f t="shared" si="86"/>
        <v>0</v>
      </c>
      <c r="CW75">
        <f t="shared" si="87"/>
        <v>0</v>
      </c>
      <c r="CX75">
        <f t="shared" si="88"/>
        <v>0</v>
      </c>
      <c r="CY75">
        <f t="shared" si="89"/>
        <v>0</v>
      </c>
      <c r="CZ75">
        <f t="shared" si="90"/>
        <v>0</v>
      </c>
      <c r="DC75" t="s">
        <v>3</v>
      </c>
      <c r="DD75" t="s">
        <v>3</v>
      </c>
      <c r="DE75" t="s">
        <v>3</v>
      </c>
      <c r="DF75" t="s">
        <v>3</v>
      </c>
      <c r="DG75" t="s">
        <v>3</v>
      </c>
      <c r="DH75" t="s">
        <v>3</v>
      </c>
      <c r="DI75" t="s">
        <v>3</v>
      </c>
      <c r="DJ75" t="s">
        <v>3</v>
      </c>
      <c r="DK75" t="s">
        <v>3</v>
      </c>
      <c r="DL75" t="s">
        <v>3</v>
      </c>
      <c r="DM75" t="s">
        <v>3</v>
      </c>
      <c r="DN75">
        <v>0</v>
      </c>
      <c r="DO75">
        <v>0</v>
      </c>
      <c r="DP75">
        <v>1</v>
      </c>
      <c r="DQ75">
        <v>1</v>
      </c>
      <c r="DU75">
        <v>1011</v>
      </c>
      <c r="DV75" t="s">
        <v>43</v>
      </c>
      <c r="DW75" t="s">
        <v>43</v>
      </c>
      <c r="DX75">
        <v>1</v>
      </c>
      <c r="EE75">
        <v>32893472</v>
      </c>
      <c r="EF75">
        <v>1</v>
      </c>
      <c r="EG75" t="s">
        <v>20</v>
      </c>
      <c r="EH75">
        <v>0</v>
      </c>
      <c r="EI75" t="s">
        <v>3</v>
      </c>
      <c r="EJ75">
        <v>4</v>
      </c>
      <c r="EK75">
        <v>0</v>
      </c>
      <c r="EL75" t="s">
        <v>21</v>
      </c>
      <c r="EM75" t="s">
        <v>22</v>
      </c>
      <c r="EO75" t="s">
        <v>3</v>
      </c>
      <c r="EQ75">
        <v>0</v>
      </c>
      <c r="ER75">
        <v>731.95</v>
      </c>
      <c r="ES75">
        <v>0</v>
      </c>
      <c r="ET75">
        <v>841.74</v>
      </c>
      <c r="EU75">
        <v>355.81</v>
      </c>
      <c r="EV75">
        <v>0</v>
      </c>
      <c r="EW75">
        <v>0</v>
      </c>
      <c r="EX75">
        <v>0</v>
      </c>
      <c r="FQ75">
        <v>0</v>
      </c>
      <c r="FR75">
        <f t="shared" si="91"/>
        <v>0</v>
      </c>
      <c r="FS75">
        <v>0</v>
      </c>
      <c r="FX75">
        <v>70</v>
      </c>
      <c r="FY75">
        <v>10</v>
      </c>
      <c r="GA75" t="s">
        <v>3</v>
      </c>
      <c r="GD75">
        <v>0</v>
      </c>
      <c r="GF75">
        <v>293052103</v>
      </c>
      <c r="GG75">
        <v>2</v>
      </c>
      <c r="GH75">
        <v>2</v>
      </c>
      <c r="GI75">
        <v>-2</v>
      </c>
      <c r="GJ75">
        <v>0</v>
      </c>
      <c r="GK75">
        <f>ROUND(R75*(R12)/100,2)</f>
        <v>156875.99</v>
      </c>
      <c r="GL75">
        <f t="shared" si="92"/>
        <v>0</v>
      </c>
      <c r="GM75">
        <f t="shared" si="93"/>
        <v>500507.15</v>
      </c>
      <c r="GN75">
        <f t="shared" si="94"/>
        <v>0</v>
      </c>
      <c r="GO75">
        <f t="shared" si="95"/>
        <v>0</v>
      </c>
      <c r="GP75">
        <f t="shared" si="96"/>
        <v>500507.15</v>
      </c>
      <c r="GR75">
        <v>0</v>
      </c>
      <c r="GS75">
        <v>0</v>
      </c>
      <c r="GT75">
        <v>0</v>
      </c>
      <c r="GU75" t="s">
        <v>3</v>
      </c>
      <c r="GV75">
        <f t="shared" si="97"/>
        <v>0</v>
      </c>
      <c r="GW75">
        <v>1</v>
      </c>
      <c r="GX75">
        <f t="shared" si="98"/>
        <v>0</v>
      </c>
      <c r="HA75">
        <v>0</v>
      </c>
      <c r="HB75">
        <v>0</v>
      </c>
      <c r="IK75">
        <v>0</v>
      </c>
    </row>
    <row r="76" spans="1:245" x14ac:dyDescent="0.2">
      <c r="A76">
        <v>18</v>
      </c>
      <c r="B76">
        <v>1</v>
      </c>
      <c r="C76">
        <v>21</v>
      </c>
      <c r="E76" t="s">
        <v>125</v>
      </c>
      <c r="F76" t="s">
        <v>126</v>
      </c>
      <c r="G76" t="s">
        <v>127</v>
      </c>
      <c r="H76" t="s">
        <v>43</v>
      </c>
      <c r="I76">
        <v>408.23811039999998</v>
      </c>
      <c r="J76">
        <v>0.42</v>
      </c>
      <c r="O76">
        <f t="shared" si="61"/>
        <v>294000.84000000003</v>
      </c>
      <c r="P76">
        <f t="shared" si="62"/>
        <v>0</v>
      </c>
      <c r="Q76">
        <f t="shared" si="63"/>
        <v>294000.84000000003</v>
      </c>
      <c r="R76">
        <f t="shared" si="64"/>
        <v>155452.99</v>
      </c>
      <c r="S76">
        <f t="shared" si="65"/>
        <v>0</v>
      </c>
      <c r="T76">
        <f t="shared" si="66"/>
        <v>0</v>
      </c>
      <c r="U76">
        <f t="shared" si="67"/>
        <v>0</v>
      </c>
      <c r="V76">
        <f t="shared" si="68"/>
        <v>0</v>
      </c>
      <c r="W76">
        <f t="shared" si="69"/>
        <v>0</v>
      </c>
      <c r="X76">
        <f t="shared" si="70"/>
        <v>0</v>
      </c>
      <c r="Y76">
        <f t="shared" si="71"/>
        <v>0</v>
      </c>
      <c r="AA76">
        <v>33299672</v>
      </c>
      <c r="AB76">
        <f t="shared" si="72"/>
        <v>720.17</v>
      </c>
      <c r="AC76">
        <f t="shared" si="73"/>
        <v>0</v>
      </c>
      <c r="AD76">
        <f t="shared" si="74"/>
        <v>720.17</v>
      </c>
      <c r="AE76">
        <f t="shared" si="75"/>
        <v>380.79</v>
      </c>
      <c r="AF76">
        <f t="shared" si="76"/>
        <v>0</v>
      </c>
      <c r="AG76">
        <f t="shared" si="77"/>
        <v>0</v>
      </c>
      <c r="AH76">
        <f t="shared" si="100"/>
        <v>0</v>
      </c>
      <c r="AI76">
        <f t="shared" si="99"/>
        <v>0</v>
      </c>
      <c r="AJ76">
        <f t="shared" si="79"/>
        <v>0</v>
      </c>
      <c r="AK76">
        <v>720.17</v>
      </c>
      <c r="AL76">
        <v>0</v>
      </c>
      <c r="AM76">
        <v>720.17</v>
      </c>
      <c r="AN76">
        <v>380.79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70</v>
      </c>
      <c r="AU76">
        <v>10</v>
      </c>
      <c r="AV76">
        <v>1</v>
      </c>
      <c r="AW76">
        <v>1</v>
      </c>
      <c r="AZ76">
        <v>1</v>
      </c>
      <c r="BA76">
        <v>1</v>
      </c>
      <c r="BB76">
        <v>1</v>
      </c>
      <c r="BC76">
        <v>1</v>
      </c>
      <c r="BD76" t="s">
        <v>3</v>
      </c>
      <c r="BE76" t="s">
        <v>3</v>
      </c>
      <c r="BF76" t="s">
        <v>3</v>
      </c>
      <c r="BG76" t="s">
        <v>3</v>
      </c>
      <c r="BH76">
        <v>2</v>
      </c>
      <c r="BI76">
        <v>4</v>
      </c>
      <c r="BJ76" t="s">
        <v>128</v>
      </c>
      <c r="BM76">
        <v>0</v>
      </c>
      <c r="BN76">
        <v>0</v>
      </c>
      <c r="BO76" t="s">
        <v>3</v>
      </c>
      <c r="BP76">
        <v>0</v>
      </c>
      <c r="BQ76">
        <v>1</v>
      </c>
      <c r="BR76">
        <v>0</v>
      </c>
      <c r="BS76">
        <v>1</v>
      </c>
      <c r="BT76">
        <v>1</v>
      </c>
      <c r="BU76">
        <v>1</v>
      </c>
      <c r="BV76">
        <v>1</v>
      </c>
      <c r="BW76">
        <v>1</v>
      </c>
      <c r="BX76">
        <v>1</v>
      </c>
      <c r="BY76" t="s">
        <v>3</v>
      </c>
      <c r="BZ76">
        <v>70</v>
      </c>
      <c r="CA76">
        <v>10</v>
      </c>
      <c r="CF76">
        <v>0</v>
      </c>
      <c r="CG76">
        <v>0</v>
      </c>
      <c r="CM76">
        <v>0</v>
      </c>
      <c r="CN76" t="s">
        <v>3</v>
      </c>
      <c r="CO76">
        <v>0</v>
      </c>
      <c r="CP76">
        <f t="shared" si="80"/>
        <v>294000.84000000003</v>
      </c>
      <c r="CQ76">
        <f t="shared" si="81"/>
        <v>0</v>
      </c>
      <c r="CR76">
        <f t="shared" si="82"/>
        <v>720.17</v>
      </c>
      <c r="CS76">
        <f t="shared" si="83"/>
        <v>380.79</v>
      </c>
      <c r="CT76">
        <f t="shared" si="84"/>
        <v>0</v>
      </c>
      <c r="CU76">
        <f t="shared" si="85"/>
        <v>0</v>
      </c>
      <c r="CV76">
        <f t="shared" si="86"/>
        <v>0</v>
      </c>
      <c r="CW76">
        <f t="shared" si="87"/>
        <v>0</v>
      </c>
      <c r="CX76">
        <f t="shared" si="88"/>
        <v>0</v>
      </c>
      <c r="CY76">
        <f t="shared" si="89"/>
        <v>0</v>
      </c>
      <c r="CZ76">
        <f t="shared" si="90"/>
        <v>0</v>
      </c>
      <c r="DC76" t="s">
        <v>3</v>
      </c>
      <c r="DD76" t="s">
        <v>3</v>
      </c>
      <c r="DE76" t="s">
        <v>3</v>
      </c>
      <c r="DF76" t="s">
        <v>3</v>
      </c>
      <c r="DG76" t="s">
        <v>3</v>
      </c>
      <c r="DH76" t="s">
        <v>3</v>
      </c>
      <c r="DI76" t="s">
        <v>3</v>
      </c>
      <c r="DJ76" t="s">
        <v>3</v>
      </c>
      <c r="DK76" t="s">
        <v>3</v>
      </c>
      <c r="DL76" t="s">
        <v>3</v>
      </c>
      <c r="DM76" t="s">
        <v>3</v>
      </c>
      <c r="DN76">
        <v>0</v>
      </c>
      <c r="DO76">
        <v>0</v>
      </c>
      <c r="DP76">
        <v>1</v>
      </c>
      <c r="DQ76">
        <v>1</v>
      </c>
      <c r="DU76">
        <v>1011</v>
      </c>
      <c r="DV76" t="s">
        <v>43</v>
      </c>
      <c r="DW76" t="s">
        <v>43</v>
      </c>
      <c r="DX76">
        <v>1</v>
      </c>
      <c r="EE76">
        <v>32893472</v>
      </c>
      <c r="EF76">
        <v>1</v>
      </c>
      <c r="EG76" t="s">
        <v>20</v>
      </c>
      <c r="EH76">
        <v>0</v>
      </c>
      <c r="EI76" t="s">
        <v>3</v>
      </c>
      <c r="EJ76">
        <v>4</v>
      </c>
      <c r="EK76">
        <v>0</v>
      </c>
      <c r="EL76" t="s">
        <v>21</v>
      </c>
      <c r="EM76" t="s">
        <v>22</v>
      </c>
      <c r="EO76" t="s">
        <v>3</v>
      </c>
      <c r="EQ76">
        <v>0</v>
      </c>
      <c r="ER76">
        <v>703.74</v>
      </c>
      <c r="ES76">
        <v>0</v>
      </c>
      <c r="ET76">
        <v>720.17</v>
      </c>
      <c r="EU76">
        <v>380.79</v>
      </c>
      <c r="EV76">
        <v>0</v>
      </c>
      <c r="EW76">
        <v>0</v>
      </c>
      <c r="EX76">
        <v>0</v>
      </c>
      <c r="FQ76">
        <v>0</v>
      </c>
      <c r="FR76">
        <f t="shared" si="91"/>
        <v>0</v>
      </c>
      <c r="FS76">
        <v>0</v>
      </c>
      <c r="FX76">
        <v>70</v>
      </c>
      <c r="FY76">
        <v>10</v>
      </c>
      <c r="GA76" t="s">
        <v>3</v>
      </c>
      <c r="GD76">
        <v>0</v>
      </c>
      <c r="GF76">
        <v>-276776398</v>
      </c>
      <c r="GG76">
        <v>2</v>
      </c>
      <c r="GH76">
        <v>2</v>
      </c>
      <c r="GI76">
        <v>-2</v>
      </c>
      <c r="GJ76">
        <v>0</v>
      </c>
      <c r="GK76">
        <f>ROUND(R76*(R12)/100,2)</f>
        <v>167889.23</v>
      </c>
      <c r="GL76">
        <f t="shared" si="92"/>
        <v>0</v>
      </c>
      <c r="GM76">
        <f t="shared" si="93"/>
        <v>461890.07</v>
      </c>
      <c r="GN76">
        <f t="shared" si="94"/>
        <v>0</v>
      </c>
      <c r="GO76">
        <f t="shared" si="95"/>
        <v>0</v>
      </c>
      <c r="GP76">
        <f t="shared" si="96"/>
        <v>461890.07</v>
      </c>
      <c r="GR76">
        <v>0</v>
      </c>
      <c r="GS76">
        <v>0</v>
      </c>
      <c r="GT76">
        <v>0</v>
      </c>
      <c r="GU76" t="s">
        <v>3</v>
      </c>
      <c r="GV76">
        <f t="shared" si="97"/>
        <v>0</v>
      </c>
      <c r="GW76">
        <v>1</v>
      </c>
      <c r="GX76">
        <f t="shared" si="98"/>
        <v>0</v>
      </c>
      <c r="HA76">
        <v>0</v>
      </c>
      <c r="HB76">
        <v>0</v>
      </c>
      <c r="IK76">
        <v>0</v>
      </c>
    </row>
    <row r="77" spans="1:245" x14ac:dyDescent="0.2">
      <c r="A77">
        <v>18</v>
      </c>
      <c r="B77">
        <v>1</v>
      </c>
      <c r="C77">
        <v>24</v>
      </c>
      <c r="E77" t="s">
        <v>129</v>
      </c>
      <c r="F77" t="s">
        <v>130</v>
      </c>
      <c r="G77" t="s">
        <v>131</v>
      </c>
      <c r="H77" t="s">
        <v>132</v>
      </c>
      <c r="I77">
        <v>19.331469999999999</v>
      </c>
      <c r="J77">
        <v>0.02</v>
      </c>
      <c r="O77">
        <f t="shared" si="61"/>
        <v>554.04</v>
      </c>
      <c r="P77">
        <f t="shared" si="62"/>
        <v>554.04</v>
      </c>
      <c r="Q77">
        <f t="shared" si="63"/>
        <v>0</v>
      </c>
      <c r="R77">
        <f t="shared" si="64"/>
        <v>0</v>
      </c>
      <c r="S77">
        <f t="shared" si="65"/>
        <v>0</v>
      </c>
      <c r="T77">
        <f t="shared" si="66"/>
        <v>0</v>
      </c>
      <c r="U77">
        <f t="shared" si="67"/>
        <v>0</v>
      </c>
      <c r="V77">
        <f t="shared" si="68"/>
        <v>0</v>
      </c>
      <c r="W77">
        <f t="shared" si="69"/>
        <v>0</v>
      </c>
      <c r="X77">
        <f t="shared" si="70"/>
        <v>0</v>
      </c>
      <c r="Y77">
        <f t="shared" si="71"/>
        <v>0</v>
      </c>
      <c r="AA77">
        <v>33299672</v>
      </c>
      <c r="AB77">
        <f t="shared" si="72"/>
        <v>28.66</v>
      </c>
      <c r="AC77">
        <f t="shared" si="73"/>
        <v>28.66</v>
      </c>
      <c r="AD77">
        <f t="shared" si="74"/>
        <v>0</v>
      </c>
      <c r="AE77">
        <f t="shared" si="75"/>
        <v>0</v>
      </c>
      <c r="AF77">
        <f t="shared" si="76"/>
        <v>0</v>
      </c>
      <c r="AG77">
        <f t="shared" si="77"/>
        <v>0</v>
      </c>
      <c r="AH77">
        <f t="shared" si="100"/>
        <v>0</v>
      </c>
      <c r="AI77">
        <f t="shared" si="99"/>
        <v>0</v>
      </c>
      <c r="AJ77">
        <f t="shared" si="79"/>
        <v>0</v>
      </c>
      <c r="AK77">
        <v>28.66</v>
      </c>
      <c r="AL77">
        <v>28.66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70</v>
      </c>
      <c r="AU77">
        <v>10</v>
      </c>
      <c r="AV77">
        <v>1</v>
      </c>
      <c r="AW77">
        <v>1</v>
      </c>
      <c r="AZ77">
        <v>1</v>
      </c>
      <c r="BA77">
        <v>1</v>
      </c>
      <c r="BB77">
        <v>1</v>
      </c>
      <c r="BC77">
        <v>1</v>
      </c>
      <c r="BD77" t="s">
        <v>3</v>
      </c>
      <c r="BE77" t="s">
        <v>3</v>
      </c>
      <c r="BF77" t="s">
        <v>3</v>
      </c>
      <c r="BG77" t="s">
        <v>3</v>
      </c>
      <c r="BH77">
        <v>3</v>
      </c>
      <c r="BI77">
        <v>4</v>
      </c>
      <c r="BJ77" t="s">
        <v>133</v>
      </c>
      <c r="BM77">
        <v>0</v>
      </c>
      <c r="BN77">
        <v>0</v>
      </c>
      <c r="BO77" t="s">
        <v>3</v>
      </c>
      <c r="BP77">
        <v>0</v>
      </c>
      <c r="BQ77">
        <v>1</v>
      </c>
      <c r="BR77">
        <v>0</v>
      </c>
      <c r="BS77">
        <v>1</v>
      </c>
      <c r="BT77">
        <v>1</v>
      </c>
      <c r="BU77">
        <v>1</v>
      </c>
      <c r="BV77">
        <v>1</v>
      </c>
      <c r="BW77">
        <v>1</v>
      </c>
      <c r="BX77">
        <v>1</v>
      </c>
      <c r="BY77" t="s">
        <v>3</v>
      </c>
      <c r="BZ77">
        <v>70</v>
      </c>
      <c r="CA77">
        <v>10</v>
      </c>
      <c r="CF77">
        <v>0</v>
      </c>
      <c r="CG77">
        <v>0</v>
      </c>
      <c r="CM77">
        <v>0</v>
      </c>
      <c r="CN77" t="s">
        <v>3</v>
      </c>
      <c r="CO77">
        <v>0</v>
      </c>
      <c r="CP77">
        <f t="shared" si="80"/>
        <v>554.04</v>
      </c>
      <c r="CQ77">
        <f t="shared" si="81"/>
        <v>28.66</v>
      </c>
      <c r="CR77">
        <f t="shared" si="82"/>
        <v>0</v>
      </c>
      <c r="CS77">
        <f t="shared" si="83"/>
        <v>0</v>
      </c>
      <c r="CT77">
        <f t="shared" si="84"/>
        <v>0</v>
      </c>
      <c r="CU77">
        <f t="shared" si="85"/>
        <v>0</v>
      </c>
      <c r="CV77">
        <f t="shared" si="86"/>
        <v>0</v>
      </c>
      <c r="CW77">
        <f t="shared" si="87"/>
        <v>0</v>
      </c>
      <c r="CX77">
        <f t="shared" si="88"/>
        <v>0</v>
      </c>
      <c r="CY77">
        <f t="shared" si="89"/>
        <v>0</v>
      </c>
      <c r="CZ77">
        <f t="shared" si="90"/>
        <v>0</v>
      </c>
      <c r="DC77" t="s">
        <v>3</v>
      </c>
      <c r="DD77" t="s">
        <v>3</v>
      </c>
      <c r="DE77" t="s">
        <v>3</v>
      </c>
      <c r="DF77" t="s">
        <v>3</v>
      </c>
      <c r="DG77" t="s">
        <v>3</v>
      </c>
      <c r="DH77" t="s">
        <v>3</v>
      </c>
      <c r="DI77" t="s">
        <v>3</v>
      </c>
      <c r="DJ77" t="s">
        <v>3</v>
      </c>
      <c r="DK77" t="s">
        <v>3</v>
      </c>
      <c r="DL77" t="s">
        <v>3</v>
      </c>
      <c r="DM77" t="s">
        <v>3</v>
      </c>
      <c r="DN77">
        <v>0</v>
      </c>
      <c r="DO77">
        <v>0</v>
      </c>
      <c r="DP77">
        <v>1</v>
      </c>
      <c r="DQ77">
        <v>1</v>
      </c>
      <c r="DU77">
        <v>1009</v>
      </c>
      <c r="DV77" t="s">
        <v>132</v>
      </c>
      <c r="DW77" t="s">
        <v>132</v>
      </c>
      <c r="DX77">
        <v>1</v>
      </c>
      <c r="EE77">
        <v>32893472</v>
      </c>
      <c r="EF77">
        <v>1</v>
      </c>
      <c r="EG77" t="s">
        <v>20</v>
      </c>
      <c r="EH77">
        <v>0</v>
      </c>
      <c r="EI77" t="s">
        <v>3</v>
      </c>
      <c r="EJ77">
        <v>4</v>
      </c>
      <c r="EK77">
        <v>0</v>
      </c>
      <c r="EL77" t="s">
        <v>21</v>
      </c>
      <c r="EM77" t="s">
        <v>22</v>
      </c>
      <c r="EO77" t="s">
        <v>3</v>
      </c>
      <c r="EQ77">
        <v>0</v>
      </c>
      <c r="ER77">
        <v>27.91</v>
      </c>
      <c r="ES77">
        <v>28.66</v>
      </c>
      <c r="ET77">
        <v>0</v>
      </c>
      <c r="EU77">
        <v>0</v>
      </c>
      <c r="EV77">
        <v>0</v>
      </c>
      <c r="EW77">
        <v>0</v>
      </c>
      <c r="EX77">
        <v>0</v>
      </c>
      <c r="FQ77">
        <v>0</v>
      </c>
      <c r="FR77">
        <f t="shared" si="91"/>
        <v>0</v>
      </c>
      <c r="FS77">
        <v>0</v>
      </c>
      <c r="FX77">
        <v>70</v>
      </c>
      <c r="FY77">
        <v>10</v>
      </c>
      <c r="GA77" t="s">
        <v>134</v>
      </c>
      <c r="GD77">
        <v>0</v>
      </c>
      <c r="GF77">
        <v>187315693</v>
      </c>
      <c r="GG77">
        <v>2</v>
      </c>
      <c r="GH77">
        <v>2</v>
      </c>
      <c r="GI77">
        <v>-2</v>
      </c>
      <c r="GJ77">
        <v>0</v>
      </c>
      <c r="GK77">
        <f>ROUND(R77*(R12)/100,2)</f>
        <v>0</v>
      </c>
      <c r="GL77">
        <f t="shared" si="92"/>
        <v>0</v>
      </c>
      <c r="GM77">
        <f t="shared" si="93"/>
        <v>554.04</v>
      </c>
      <c r="GN77">
        <f t="shared" si="94"/>
        <v>0</v>
      </c>
      <c r="GO77">
        <f t="shared" si="95"/>
        <v>0</v>
      </c>
      <c r="GP77">
        <f t="shared" si="96"/>
        <v>554.04</v>
      </c>
      <c r="GR77">
        <v>0</v>
      </c>
      <c r="GS77">
        <v>4</v>
      </c>
      <c r="GT77">
        <v>0</v>
      </c>
      <c r="GU77" t="s">
        <v>3</v>
      </c>
      <c r="GV77">
        <f t="shared" si="97"/>
        <v>0</v>
      </c>
      <c r="GW77">
        <v>1</v>
      </c>
      <c r="GX77">
        <f t="shared" si="98"/>
        <v>0</v>
      </c>
      <c r="HA77">
        <v>0</v>
      </c>
      <c r="HB77">
        <v>0</v>
      </c>
      <c r="IK77">
        <v>0</v>
      </c>
    </row>
    <row r="78" spans="1:245" x14ac:dyDescent="0.2">
      <c r="A78">
        <v>17</v>
      </c>
      <c r="B78">
        <v>1</v>
      </c>
      <c r="C78">
        <f>ROW(SmtRes!A28)</f>
        <v>28</v>
      </c>
      <c r="D78">
        <f>ROW(EtalonRes!A20)</f>
        <v>20</v>
      </c>
      <c r="E78" t="s">
        <v>135</v>
      </c>
      <c r="F78" t="s">
        <v>136</v>
      </c>
      <c r="G78" t="s">
        <v>137</v>
      </c>
      <c r="H78" t="s">
        <v>138</v>
      </c>
      <c r="I78">
        <f>ROUND((1500)/10,9)</f>
        <v>150</v>
      </c>
      <c r="J78">
        <v>0</v>
      </c>
      <c r="O78">
        <f t="shared" si="61"/>
        <v>102535.5</v>
      </c>
      <c r="P78">
        <f t="shared" si="62"/>
        <v>903</v>
      </c>
      <c r="Q78">
        <f t="shared" si="63"/>
        <v>0</v>
      </c>
      <c r="R78">
        <f t="shared" si="64"/>
        <v>0</v>
      </c>
      <c r="S78">
        <f t="shared" si="65"/>
        <v>101632.5</v>
      </c>
      <c r="T78">
        <f t="shared" si="66"/>
        <v>0</v>
      </c>
      <c r="U78">
        <f t="shared" si="67"/>
        <v>648</v>
      </c>
      <c r="V78">
        <f t="shared" si="68"/>
        <v>0</v>
      </c>
      <c r="W78">
        <f t="shared" si="69"/>
        <v>0</v>
      </c>
      <c r="X78">
        <f t="shared" si="70"/>
        <v>71142.75</v>
      </c>
      <c r="Y78">
        <f t="shared" si="71"/>
        <v>10163.25</v>
      </c>
      <c r="AA78">
        <v>33299672</v>
      </c>
      <c r="AB78">
        <f t="shared" si="72"/>
        <v>683.57</v>
      </c>
      <c r="AC78">
        <f t="shared" si="73"/>
        <v>6.02</v>
      </c>
      <c r="AD78">
        <f t="shared" si="74"/>
        <v>0</v>
      </c>
      <c r="AE78">
        <f t="shared" si="75"/>
        <v>0</v>
      </c>
      <c r="AF78">
        <f t="shared" si="76"/>
        <v>677.55</v>
      </c>
      <c r="AG78">
        <f t="shared" si="77"/>
        <v>0</v>
      </c>
      <c r="AH78">
        <f t="shared" si="100"/>
        <v>4.32</v>
      </c>
      <c r="AI78">
        <f t="shared" si="99"/>
        <v>0</v>
      </c>
      <c r="AJ78">
        <f t="shared" si="79"/>
        <v>0</v>
      </c>
      <c r="AK78">
        <v>683.57</v>
      </c>
      <c r="AL78">
        <v>6.02</v>
      </c>
      <c r="AM78">
        <v>0</v>
      </c>
      <c r="AN78">
        <v>0</v>
      </c>
      <c r="AO78">
        <v>677.55</v>
      </c>
      <c r="AP78">
        <v>0</v>
      </c>
      <c r="AQ78">
        <v>4.32</v>
      </c>
      <c r="AR78">
        <v>0</v>
      </c>
      <c r="AS78">
        <v>0</v>
      </c>
      <c r="AT78">
        <v>70</v>
      </c>
      <c r="AU78">
        <v>10</v>
      </c>
      <c r="AV78">
        <v>1</v>
      </c>
      <c r="AW78">
        <v>1</v>
      </c>
      <c r="AZ78">
        <v>1</v>
      </c>
      <c r="BA78">
        <v>1</v>
      </c>
      <c r="BB78">
        <v>1</v>
      </c>
      <c r="BC78">
        <v>1</v>
      </c>
      <c r="BD78" t="s">
        <v>3</v>
      </c>
      <c r="BE78" t="s">
        <v>3</v>
      </c>
      <c r="BF78" t="s">
        <v>3</v>
      </c>
      <c r="BG78" t="s">
        <v>3</v>
      </c>
      <c r="BH78">
        <v>0</v>
      </c>
      <c r="BI78">
        <v>4</v>
      </c>
      <c r="BJ78" t="s">
        <v>139</v>
      </c>
      <c r="BM78">
        <v>0</v>
      </c>
      <c r="BN78">
        <v>0</v>
      </c>
      <c r="BO78" t="s">
        <v>3</v>
      </c>
      <c r="BP78">
        <v>0</v>
      </c>
      <c r="BQ78">
        <v>1</v>
      </c>
      <c r="BR78">
        <v>0</v>
      </c>
      <c r="BS78">
        <v>1</v>
      </c>
      <c r="BT78">
        <v>1</v>
      </c>
      <c r="BU78">
        <v>1</v>
      </c>
      <c r="BV78">
        <v>1</v>
      </c>
      <c r="BW78">
        <v>1</v>
      </c>
      <c r="BX78">
        <v>1</v>
      </c>
      <c r="BY78" t="s">
        <v>3</v>
      </c>
      <c r="BZ78">
        <v>70</v>
      </c>
      <c r="CA78">
        <v>10</v>
      </c>
      <c r="CF78">
        <v>0</v>
      </c>
      <c r="CG78">
        <v>0</v>
      </c>
      <c r="CM78">
        <v>0</v>
      </c>
      <c r="CN78" t="s">
        <v>3</v>
      </c>
      <c r="CO78">
        <v>0</v>
      </c>
      <c r="CP78">
        <f t="shared" si="80"/>
        <v>102535.5</v>
      </c>
      <c r="CQ78">
        <f t="shared" si="81"/>
        <v>6.02</v>
      </c>
      <c r="CR78">
        <f t="shared" si="82"/>
        <v>0</v>
      </c>
      <c r="CS78">
        <f t="shared" si="83"/>
        <v>0</v>
      </c>
      <c r="CT78">
        <f t="shared" si="84"/>
        <v>677.55</v>
      </c>
      <c r="CU78">
        <f t="shared" si="85"/>
        <v>0</v>
      </c>
      <c r="CV78">
        <f t="shared" si="86"/>
        <v>4.32</v>
      </c>
      <c r="CW78">
        <f t="shared" si="87"/>
        <v>0</v>
      </c>
      <c r="CX78">
        <f t="shared" si="88"/>
        <v>0</v>
      </c>
      <c r="CY78">
        <f t="shared" si="89"/>
        <v>71142.75</v>
      </c>
      <c r="CZ78">
        <f t="shared" si="90"/>
        <v>10163.25</v>
      </c>
      <c r="DC78" t="s">
        <v>3</v>
      </c>
      <c r="DD78" t="s">
        <v>3</v>
      </c>
      <c r="DE78" t="s">
        <v>3</v>
      </c>
      <c r="DF78" t="s">
        <v>3</v>
      </c>
      <c r="DG78" t="s">
        <v>3</v>
      </c>
      <c r="DH78" t="s">
        <v>3</v>
      </c>
      <c r="DI78" t="s">
        <v>3</v>
      </c>
      <c r="DJ78" t="s">
        <v>3</v>
      </c>
      <c r="DK78" t="s">
        <v>3</v>
      </c>
      <c r="DL78" t="s">
        <v>3</v>
      </c>
      <c r="DM78" t="s">
        <v>3</v>
      </c>
      <c r="DN78">
        <v>0</v>
      </c>
      <c r="DO78">
        <v>0</v>
      </c>
      <c r="DP78">
        <v>1</v>
      </c>
      <c r="DQ78">
        <v>1</v>
      </c>
      <c r="DU78">
        <v>1005</v>
      </c>
      <c r="DV78" t="s">
        <v>138</v>
      </c>
      <c r="DW78" t="s">
        <v>138</v>
      </c>
      <c r="DX78">
        <v>10</v>
      </c>
      <c r="EE78">
        <v>32893472</v>
      </c>
      <c r="EF78">
        <v>1</v>
      </c>
      <c r="EG78" t="s">
        <v>20</v>
      </c>
      <c r="EH78">
        <v>0</v>
      </c>
      <c r="EI78" t="s">
        <v>3</v>
      </c>
      <c r="EJ78">
        <v>4</v>
      </c>
      <c r="EK78">
        <v>0</v>
      </c>
      <c r="EL78" t="s">
        <v>21</v>
      </c>
      <c r="EM78" t="s">
        <v>22</v>
      </c>
      <c r="EO78" t="s">
        <v>3</v>
      </c>
      <c r="EQ78">
        <v>0</v>
      </c>
      <c r="ER78">
        <v>683.57</v>
      </c>
      <c r="ES78">
        <v>6.02</v>
      </c>
      <c r="ET78">
        <v>0</v>
      </c>
      <c r="EU78">
        <v>0</v>
      </c>
      <c r="EV78">
        <v>677.55</v>
      </c>
      <c r="EW78">
        <v>4.32</v>
      </c>
      <c r="EX78">
        <v>0</v>
      </c>
      <c r="EY78">
        <v>0</v>
      </c>
      <c r="FQ78">
        <v>0</v>
      </c>
      <c r="FR78">
        <f t="shared" si="91"/>
        <v>0</v>
      </c>
      <c r="FS78">
        <v>0</v>
      </c>
      <c r="FX78">
        <v>70</v>
      </c>
      <c r="FY78">
        <v>10</v>
      </c>
      <c r="GA78" t="s">
        <v>3</v>
      </c>
      <c r="GD78">
        <v>0</v>
      </c>
      <c r="GF78">
        <v>1934443960</v>
      </c>
      <c r="GG78">
        <v>2</v>
      </c>
      <c r="GH78">
        <v>1</v>
      </c>
      <c r="GI78">
        <v>-2</v>
      </c>
      <c r="GJ78">
        <v>0</v>
      </c>
      <c r="GK78">
        <f>ROUND(R78*(R12)/100,2)</f>
        <v>0</v>
      </c>
      <c r="GL78">
        <f t="shared" si="92"/>
        <v>0</v>
      </c>
      <c r="GM78">
        <f t="shared" si="93"/>
        <v>183841.5</v>
      </c>
      <c r="GN78">
        <f t="shared" si="94"/>
        <v>0</v>
      </c>
      <c r="GO78">
        <f t="shared" si="95"/>
        <v>0</v>
      </c>
      <c r="GP78">
        <f t="shared" si="96"/>
        <v>183841.5</v>
      </c>
      <c r="GR78">
        <v>0</v>
      </c>
      <c r="GS78">
        <v>3</v>
      </c>
      <c r="GT78">
        <v>0</v>
      </c>
      <c r="GU78" t="s">
        <v>3</v>
      </c>
      <c r="GV78">
        <f t="shared" si="97"/>
        <v>0</v>
      </c>
      <c r="GW78">
        <v>1</v>
      </c>
      <c r="GX78">
        <f t="shared" si="98"/>
        <v>0</v>
      </c>
      <c r="HA78">
        <v>0</v>
      </c>
      <c r="HB78">
        <v>0</v>
      </c>
      <c r="IK78">
        <v>0</v>
      </c>
    </row>
    <row r="79" spans="1:245" x14ac:dyDescent="0.2">
      <c r="A79">
        <v>17</v>
      </c>
      <c r="B79">
        <v>1</v>
      </c>
      <c r="C79">
        <f>ROW(SmtRes!A32)</f>
        <v>32</v>
      </c>
      <c r="D79">
        <f>ROW(EtalonRes!A24)</f>
        <v>24</v>
      </c>
      <c r="E79" t="s">
        <v>140</v>
      </c>
      <c r="F79" t="s">
        <v>141</v>
      </c>
      <c r="G79" t="s">
        <v>142</v>
      </c>
      <c r="H79" t="s">
        <v>143</v>
      </c>
      <c r="I79">
        <f>ROUND((3227.04)/100,9)</f>
        <v>32.270400000000002</v>
      </c>
      <c r="J79">
        <v>0</v>
      </c>
      <c r="O79">
        <f t="shared" si="61"/>
        <v>168987.18</v>
      </c>
      <c r="P79">
        <f t="shared" si="62"/>
        <v>890.02</v>
      </c>
      <c r="Q79">
        <f t="shared" si="63"/>
        <v>148661.67000000001</v>
      </c>
      <c r="R79">
        <f t="shared" si="64"/>
        <v>36011.18</v>
      </c>
      <c r="S79">
        <f t="shared" si="65"/>
        <v>19435.490000000002</v>
      </c>
      <c r="T79">
        <f t="shared" si="66"/>
        <v>0</v>
      </c>
      <c r="U79">
        <f t="shared" si="67"/>
        <v>123.91833600000001</v>
      </c>
      <c r="V79">
        <f t="shared" si="68"/>
        <v>0</v>
      </c>
      <c r="W79">
        <f t="shared" si="69"/>
        <v>0</v>
      </c>
      <c r="X79">
        <f t="shared" si="70"/>
        <v>13604.84</v>
      </c>
      <c r="Y79">
        <f t="shared" si="71"/>
        <v>1943.55</v>
      </c>
      <c r="AA79">
        <v>33299672</v>
      </c>
      <c r="AB79">
        <f t="shared" si="72"/>
        <v>5236.6000000000004</v>
      </c>
      <c r="AC79">
        <f t="shared" si="73"/>
        <v>27.58</v>
      </c>
      <c r="AD79">
        <f t="shared" si="74"/>
        <v>4606.75</v>
      </c>
      <c r="AE79">
        <f t="shared" si="75"/>
        <v>1115.92</v>
      </c>
      <c r="AF79">
        <f t="shared" si="76"/>
        <v>602.27</v>
      </c>
      <c r="AG79">
        <f t="shared" si="77"/>
        <v>0</v>
      </c>
      <c r="AH79">
        <f t="shared" si="100"/>
        <v>3.84</v>
      </c>
      <c r="AI79">
        <f t="shared" si="99"/>
        <v>0</v>
      </c>
      <c r="AJ79">
        <f t="shared" si="79"/>
        <v>0</v>
      </c>
      <c r="AK79">
        <v>5236.6000000000004</v>
      </c>
      <c r="AL79">
        <v>27.58</v>
      </c>
      <c r="AM79">
        <v>4606.75</v>
      </c>
      <c r="AN79">
        <v>1115.92</v>
      </c>
      <c r="AO79">
        <v>602.27</v>
      </c>
      <c r="AP79">
        <v>0</v>
      </c>
      <c r="AQ79">
        <v>3.84</v>
      </c>
      <c r="AR79">
        <v>0</v>
      </c>
      <c r="AS79">
        <v>0</v>
      </c>
      <c r="AT79">
        <v>70</v>
      </c>
      <c r="AU79">
        <v>10</v>
      </c>
      <c r="AV79">
        <v>1</v>
      </c>
      <c r="AW79">
        <v>1</v>
      </c>
      <c r="AZ79">
        <v>1</v>
      </c>
      <c r="BA79">
        <v>1</v>
      </c>
      <c r="BB79">
        <v>1</v>
      </c>
      <c r="BC79">
        <v>1</v>
      </c>
      <c r="BD79" t="s">
        <v>3</v>
      </c>
      <c r="BE79" t="s">
        <v>3</v>
      </c>
      <c r="BF79" t="s">
        <v>3</v>
      </c>
      <c r="BG79" t="s">
        <v>3</v>
      </c>
      <c r="BH79">
        <v>0</v>
      </c>
      <c r="BI79">
        <v>4</v>
      </c>
      <c r="BJ79" t="s">
        <v>144</v>
      </c>
      <c r="BM79">
        <v>0</v>
      </c>
      <c r="BN79">
        <v>0</v>
      </c>
      <c r="BO79" t="s">
        <v>3</v>
      </c>
      <c r="BP79">
        <v>0</v>
      </c>
      <c r="BQ79">
        <v>1</v>
      </c>
      <c r="BR79">
        <v>0</v>
      </c>
      <c r="BS79">
        <v>1</v>
      </c>
      <c r="BT79">
        <v>1</v>
      </c>
      <c r="BU79">
        <v>1</v>
      </c>
      <c r="BV79">
        <v>1</v>
      </c>
      <c r="BW79">
        <v>1</v>
      </c>
      <c r="BX79">
        <v>1</v>
      </c>
      <c r="BY79" t="s">
        <v>3</v>
      </c>
      <c r="BZ79">
        <v>70</v>
      </c>
      <c r="CA79">
        <v>10</v>
      </c>
      <c r="CF79">
        <v>0</v>
      </c>
      <c r="CG79">
        <v>0</v>
      </c>
      <c r="CM79">
        <v>0</v>
      </c>
      <c r="CN79" t="s">
        <v>3</v>
      </c>
      <c r="CO79">
        <v>0</v>
      </c>
      <c r="CP79">
        <f t="shared" si="80"/>
        <v>168987.18</v>
      </c>
      <c r="CQ79">
        <f t="shared" si="81"/>
        <v>27.58</v>
      </c>
      <c r="CR79">
        <f t="shared" si="82"/>
        <v>4606.75</v>
      </c>
      <c r="CS79">
        <f t="shared" si="83"/>
        <v>1115.92</v>
      </c>
      <c r="CT79">
        <f t="shared" si="84"/>
        <v>602.27</v>
      </c>
      <c r="CU79">
        <f t="shared" si="85"/>
        <v>0</v>
      </c>
      <c r="CV79">
        <f t="shared" si="86"/>
        <v>3.84</v>
      </c>
      <c r="CW79">
        <f t="shared" si="87"/>
        <v>0</v>
      </c>
      <c r="CX79">
        <f t="shared" si="88"/>
        <v>0</v>
      </c>
      <c r="CY79">
        <f t="shared" si="89"/>
        <v>13604.843000000001</v>
      </c>
      <c r="CZ79">
        <f t="shared" si="90"/>
        <v>1943.5490000000002</v>
      </c>
      <c r="DC79" t="s">
        <v>3</v>
      </c>
      <c r="DD79" t="s">
        <v>3</v>
      </c>
      <c r="DE79" t="s">
        <v>3</v>
      </c>
      <c r="DF79" t="s">
        <v>3</v>
      </c>
      <c r="DG79" t="s">
        <v>3</v>
      </c>
      <c r="DH79" t="s">
        <v>3</v>
      </c>
      <c r="DI79" t="s">
        <v>3</v>
      </c>
      <c r="DJ79" t="s">
        <v>3</v>
      </c>
      <c r="DK79" t="s">
        <v>3</v>
      </c>
      <c r="DL79" t="s">
        <v>3</v>
      </c>
      <c r="DM79" t="s">
        <v>3</v>
      </c>
      <c r="DN79">
        <v>0</v>
      </c>
      <c r="DO79">
        <v>0</v>
      </c>
      <c r="DP79">
        <v>1</v>
      </c>
      <c r="DQ79">
        <v>1</v>
      </c>
      <c r="DU79">
        <v>1005</v>
      </c>
      <c r="DV79" t="s">
        <v>143</v>
      </c>
      <c r="DW79" t="s">
        <v>143</v>
      </c>
      <c r="DX79">
        <v>100</v>
      </c>
      <c r="EE79">
        <v>32893472</v>
      </c>
      <c r="EF79">
        <v>1</v>
      </c>
      <c r="EG79" t="s">
        <v>20</v>
      </c>
      <c r="EH79">
        <v>0</v>
      </c>
      <c r="EI79" t="s">
        <v>3</v>
      </c>
      <c r="EJ79">
        <v>4</v>
      </c>
      <c r="EK79">
        <v>0</v>
      </c>
      <c r="EL79" t="s">
        <v>21</v>
      </c>
      <c r="EM79" t="s">
        <v>22</v>
      </c>
      <c r="EO79" t="s">
        <v>3</v>
      </c>
      <c r="EQ79">
        <v>0</v>
      </c>
      <c r="ER79">
        <v>5236.6000000000004</v>
      </c>
      <c r="ES79">
        <v>27.58</v>
      </c>
      <c r="ET79">
        <v>4606.75</v>
      </c>
      <c r="EU79">
        <v>1115.92</v>
      </c>
      <c r="EV79">
        <v>602.27</v>
      </c>
      <c r="EW79">
        <v>3.84</v>
      </c>
      <c r="EX79">
        <v>0</v>
      </c>
      <c r="EY79">
        <v>0</v>
      </c>
      <c r="FQ79">
        <v>0</v>
      </c>
      <c r="FR79">
        <f t="shared" si="91"/>
        <v>0</v>
      </c>
      <c r="FS79">
        <v>0</v>
      </c>
      <c r="FX79">
        <v>70</v>
      </c>
      <c r="FY79">
        <v>10</v>
      </c>
      <c r="GA79" t="s">
        <v>3</v>
      </c>
      <c r="GD79">
        <v>0</v>
      </c>
      <c r="GF79">
        <v>306214738</v>
      </c>
      <c r="GG79">
        <v>2</v>
      </c>
      <c r="GH79">
        <v>1</v>
      </c>
      <c r="GI79">
        <v>-2</v>
      </c>
      <c r="GJ79">
        <v>0</v>
      </c>
      <c r="GK79">
        <f>ROUND(R79*(R12)/100,2)</f>
        <v>38892.07</v>
      </c>
      <c r="GL79">
        <f t="shared" si="92"/>
        <v>0</v>
      </c>
      <c r="GM79">
        <f t="shared" si="93"/>
        <v>223427.64</v>
      </c>
      <c r="GN79">
        <f t="shared" si="94"/>
        <v>0</v>
      </c>
      <c r="GO79">
        <f t="shared" si="95"/>
        <v>0</v>
      </c>
      <c r="GP79">
        <f t="shared" si="96"/>
        <v>223427.64</v>
      </c>
      <c r="GR79">
        <v>0</v>
      </c>
      <c r="GS79">
        <v>3</v>
      </c>
      <c r="GT79">
        <v>0</v>
      </c>
      <c r="GU79" t="s">
        <v>3</v>
      </c>
      <c r="GV79">
        <f t="shared" si="97"/>
        <v>0</v>
      </c>
      <c r="GW79">
        <v>1</v>
      </c>
      <c r="GX79">
        <f t="shared" si="98"/>
        <v>0</v>
      </c>
      <c r="HA79">
        <v>0</v>
      </c>
      <c r="HB79">
        <v>0</v>
      </c>
      <c r="IK79">
        <v>0</v>
      </c>
    </row>
    <row r="80" spans="1:245" x14ac:dyDescent="0.2">
      <c r="A80">
        <v>17</v>
      </c>
      <c r="B80">
        <v>1</v>
      </c>
      <c r="C80">
        <f>ROW(SmtRes!A33)</f>
        <v>33</v>
      </c>
      <c r="D80">
        <f>ROW(EtalonRes!A25)</f>
        <v>25</v>
      </c>
      <c r="E80" t="s">
        <v>145</v>
      </c>
      <c r="F80" t="s">
        <v>146</v>
      </c>
      <c r="G80" t="s">
        <v>147</v>
      </c>
      <c r="H80" t="s">
        <v>148</v>
      </c>
      <c r="I80">
        <v>1</v>
      </c>
      <c r="J80">
        <v>0</v>
      </c>
      <c r="O80">
        <f t="shared" si="61"/>
        <v>1372.22</v>
      </c>
      <c r="P80">
        <f t="shared" si="62"/>
        <v>0</v>
      </c>
      <c r="Q80">
        <f t="shared" si="63"/>
        <v>0</v>
      </c>
      <c r="R80">
        <f t="shared" si="64"/>
        <v>0</v>
      </c>
      <c r="S80">
        <f t="shared" si="65"/>
        <v>1372.22</v>
      </c>
      <c r="T80">
        <f t="shared" si="66"/>
        <v>0</v>
      </c>
      <c r="U80">
        <f t="shared" si="67"/>
        <v>5.4</v>
      </c>
      <c r="V80">
        <f t="shared" si="68"/>
        <v>0</v>
      </c>
      <c r="W80">
        <f t="shared" si="69"/>
        <v>0</v>
      </c>
      <c r="X80">
        <f t="shared" si="70"/>
        <v>960.55</v>
      </c>
      <c r="Y80">
        <f t="shared" si="71"/>
        <v>137.22</v>
      </c>
      <c r="AA80">
        <v>33299672</v>
      </c>
      <c r="AB80">
        <f t="shared" si="72"/>
        <v>1372.22</v>
      </c>
      <c r="AC80">
        <f t="shared" si="73"/>
        <v>0</v>
      </c>
      <c r="AD80">
        <f t="shared" si="74"/>
        <v>0</v>
      </c>
      <c r="AE80">
        <f t="shared" si="75"/>
        <v>0</v>
      </c>
      <c r="AF80">
        <f t="shared" si="76"/>
        <v>1372.22</v>
      </c>
      <c r="AG80">
        <f t="shared" si="77"/>
        <v>0</v>
      </c>
      <c r="AH80">
        <f t="shared" si="100"/>
        <v>5.4</v>
      </c>
      <c r="AI80">
        <f t="shared" si="99"/>
        <v>0</v>
      </c>
      <c r="AJ80">
        <f t="shared" si="79"/>
        <v>0</v>
      </c>
      <c r="AK80">
        <v>1372.22</v>
      </c>
      <c r="AL80">
        <v>0</v>
      </c>
      <c r="AM80">
        <v>0</v>
      </c>
      <c r="AN80">
        <v>0</v>
      </c>
      <c r="AO80">
        <v>1372.22</v>
      </c>
      <c r="AP80">
        <v>0</v>
      </c>
      <c r="AQ80">
        <v>5.4</v>
      </c>
      <c r="AR80">
        <v>0</v>
      </c>
      <c r="AS80">
        <v>0</v>
      </c>
      <c r="AT80">
        <v>70</v>
      </c>
      <c r="AU80">
        <v>10</v>
      </c>
      <c r="AV80">
        <v>1</v>
      </c>
      <c r="AW80">
        <v>1</v>
      </c>
      <c r="AZ80">
        <v>1</v>
      </c>
      <c r="BA80">
        <v>1</v>
      </c>
      <c r="BB80">
        <v>1</v>
      </c>
      <c r="BC80">
        <v>1</v>
      </c>
      <c r="BD80" t="s">
        <v>3</v>
      </c>
      <c r="BE80" t="s">
        <v>3</v>
      </c>
      <c r="BF80" t="s">
        <v>3</v>
      </c>
      <c r="BG80" t="s">
        <v>3</v>
      </c>
      <c r="BH80">
        <v>0</v>
      </c>
      <c r="BI80">
        <v>4</v>
      </c>
      <c r="BJ80" t="s">
        <v>149</v>
      </c>
      <c r="BM80">
        <v>0</v>
      </c>
      <c r="BN80">
        <v>0</v>
      </c>
      <c r="BO80" t="s">
        <v>3</v>
      </c>
      <c r="BP80">
        <v>0</v>
      </c>
      <c r="BQ80">
        <v>1</v>
      </c>
      <c r="BR80">
        <v>0</v>
      </c>
      <c r="BS80">
        <v>1</v>
      </c>
      <c r="BT80">
        <v>1</v>
      </c>
      <c r="BU80">
        <v>1</v>
      </c>
      <c r="BV80">
        <v>1</v>
      </c>
      <c r="BW80">
        <v>1</v>
      </c>
      <c r="BX80">
        <v>1</v>
      </c>
      <c r="BY80" t="s">
        <v>3</v>
      </c>
      <c r="BZ80">
        <v>70</v>
      </c>
      <c r="CA80">
        <v>10</v>
      </c>
      <c r="CF80">
        <v>0</v>
      </c>
      <c r="CG80">
        <v>0</v>
      </c>
      <c r="CM80">
        <v>0</v>
      </c>
      <c r="CN80" t="s">
        <v>3</v>
      </c>
      <c r="CO80">
        <v>0</v>
      </c>
      <c r="CP80">
        <f t="shared" si="80"/>
        <v>1372.22</v>
      </c>
      <c r="CQ80">
        <f t="shared" si="81"/>
        <v>0</v>
      </c>
      <c r="CR80">
        <f t="shared" si="82"/>
        <v>0</v>
      </c>
      <c r="CS80">
        <f t="shared" si="83"/>
        <v>0</v>
      </c>
      <c r="CT80">
        <f t="shared" si="84"/>
        <v>1372.22</v>
      </c>
      <c r="CU80">
        <f t="shared" si="85"/>
        <v>0</v>
      </c>
      <c r="CV80">
        <f t="shared" si="86"/>
        <v>5.4</v>
      </c>
      <c r="CW80">
        <f t="shared" si="87"/>
        <v>0</v>
      </c>
      <c r="CX80">
        <f t="shared" si="88"/>
        <v>0</v>
      </c>
      <c r="CY80">
        <f t="shared" si="89"/>
        <v>960.55400000000009</v>
      </c>
      <c r="CZ80">
        <f t="shared" si="90"/>
        <v>137.22200000000001</v>
      </c>
      <c r="DC80" t="s">
        <v>3</v>
      </c>
      <c r="DD80" t="s">
        <v>3</v>
      </c>
      <c r="DE80" t="s">
        <v>3</v>
      </c>
      <c r="DF80" t="s">
        <v>3</v>
      </c>
      <c r="DG80" t="s">
        <v>3</v>
      </c>
      <c r="DH80" t="s">
        <v>3</v>
      </c>
      <c r="DI80" t="s">
        <v>3</v>
      </c>
      <c r="DJ80" t="s">
        <v>3</v>
      </c>
      <c r="DK80" t="s">
        <v>3</v>
      </c>
      <c r="DL80" t="s">
        <v>3</v>
      </c>
      <c r="DM80" t="s">
        <v>3</v>
      </c>
      <c r="DN80">
        <v>0</v>
      </c>
      <c r="DO80">
        <v>0</v>
      </c>
      <c r="DP80">
        <v>1</v>
      </c>
      <c r="DQ80">
        <v>1</v>
      </c>
      <c r="DU80">
        <v>1013</v>
      </c>
      <c r="DV80" t="s">
        <v>148</v>
      </c>
      <c r="DW80" t="s">
        <v>148</v>
      </c>
      <c r="DX80">
        <v>1</v>
      </c>
      <c r="EE80">
        <v>32893472</v>
      </c>
      <c r="EF80">
        <v>1</v>
      </c>
      <c r="EG80" t="s">
        <v>20</v>
      </c>
      <c r="EH80">
        <v>0</v>
      </c>
      <c r="EI80" t="s">
        <v>3</v>
      </c>
      <c r="EJ80">
        <v>4</v>
      </c>
      <c r="EK80">
        <v>0</v>
      </c>
      <c r="EL80" t="s">
        <v>21</v>
      </c>
      <c r="EM80" t="s">
        <v>22</v>
      </c>
      <c r="EO80" t="s">
        <v>3</v>
      </c>
      <c r="EQ80">
        <v>0</v>
      </c>
      <c r="ER80">
        <v>1372.22</v>
      </c>
      <c r="ES80">
        <v>0</v>
      </c>
      <c r="ET80">
        <v>0</v>
      </c>
      <c r="EU80">
        <v>0</v>
      </c>
      <c r="EV80">
        <v>1372.22</v>
      </c>
      <c r="EW80">
        <v>5.4</v>
      </c>
      <c r="EX80">
        <v>0</v>
      </c>
      <c r="EY80">
        <v>0</v>
      </c>
      <c r="FQ80">
        <v>0</v>
      </c>
      <c r="FR80">
        <f t="shared" si="91"/>
        <v>0</v>
      </c>
      <c r="FS80">
        <v>0</v>
      </c>
      <c r="FX80">
        <v>70</v>
      </c>
      <c r="FY80">
        <v>10</v>
      </c>
      <c r="GA80" t="s">
        <v>3</v>
      </c>
      <c r="GD80">
        <v>0</v>
      </c>
      <c r="GF80">
        <v>1925238724</v>
      </c>
      <c r="GG80">
        <v>2</v>
      </c>
      <c r="GH80">
        <v>1</v>
      </c>
      <c r="GI80">
        <v>-2</v>
      </c>
      <c r="GJ80">
        <v>0</v>
      </c>
      <c r="GK80">
        <f>ROUND(R80*(R12)/100,2)</f>
        <v>0</v>
      </c>
      <c r="GL80">
        <f t="shared" si="92"/>
        <v>0</v>
      </c>
      <c r="GM80">
        <f t="shared" si="93"/>
        <v>2469.9899999999998</v>
      </c>
      <c r="GN80">
        <f t="shared" si="94"/>
        <v>0</v>
      </c>
      <c r="GO80">
        <f t="shared" si="95"/>
        <v>0</v>
      </c>
      <c r="GP80">
        <f t="shared" si="96"/>
        <v>2469.9899999999998</v>
      </c>
      <c r="GR80">
        <v>0</v>
      </c>
      <c r="GS80">
        <v>3</v>
      </c>
      <c r="GT80">
        <v>0</v>
      </c>
      <c r="GU80" t="s">
        <v>3</v>
      </c>
      <c r="GV80">
        <f t="shared" si="97"/>
        <v>0</v>
      </c>
      <c r="GW80">
        <v>1</v>
      </c>
      <c r="GX80">
        <f t="shared" si="98"/>
        <v>0</v>
      </c>
      <c r="HA80">
        <v>0</v>
      </c>
      <c r="HB80">
        <v>0</v>
      </c>
      <c r="IK80">
        <v>0</v>
      </c>
    </row>
    <row r="82" spans="1:206" x14ac:dyDescent="0.2">
      <c r="A82" s="2">
        <v>51</v>
      </c>
      <c r="B82" s="2">
        <f>B64</f>
        <v>1</v>
      </c>
      <c r="C82" s="2">
        <f>A64</f>
        <v>4</v>
      </c>
      <c r="D82" s="2">
        <f>ROW(A64)</f>
        <v>64</v>
      </c>
      <c r="E82" s="2"/>
      <c r="F82" s="2" t="str">
        <f>IF(F64&lt;&gt;"",F64,"")</f>
        <v>Новый раздел</v>
      </c>
      <c r="G82" s="2" t="str">
        <f>IF(G64&lt;&gt;"",G64,"")</f>
        <v>Техническое обслуживание</v>
      </c>
      <c r="H82" s="2">
        <v>0</v>
      </c>
      <c r="I82" s="2"/>
      <c r="J82" s="2"/>
      <c r="K82" s="2"/>
      <c r="L82" s="2"/>
      <c r="M82" s="2"/>
      <c r="N82" s="2"/>
      <c r="O82" s="2">
        <f t="shared" ref="O82:T82" si="101">ROUND(AB82,2)</f>
        <v>3192738.52</v>
      </c>
      <c r="P82" s="2">
        <f t="shared" si="101"/>
        <v>4329.07</v>
      </c>
      <c r="Q82" s="2">
        <f t="shared" si="101"/>
        <v>2374180.81</v>
      </c>
      <c r="R82" s="2">
        <f t="shared" si="101"/>
        <v>992047.12</v>
      </c>
      <c r="S82" s="2">
        <f t="shared" si="101"/>
        <v>814228.64</v>
      </c>
      <c r="T82" s="2">
        <f t="shared" si="101"/>
        <v>0</v>
      </c>
      <c r="U82" s="2">
        <f>AH82</f>
        <v>2893.6261360000003</v>
      </c>
      <c r="V82" s="2">
        <f>AI82</f>
        <v>0</v>
      </c>
      <c r="W82" s="2">
        <f>ROUND(AJ82,2)</f>
        <v>0</v>
      </c>
      <c r="X82" s="2">
        <f>ROUND(AK82,2)</f>
        <v>569960.03</v>
      </c>
      <c r="Y82" s="2">
        <f>ROUND(AL82,2)</f>
        <v>81422.86</v>
      </c>
      <c r="Z82" s="2"/>
      <c r="AA82" s="2"/>
      <c r="AB82" s="2">
        <f>ROUND(SUMIF(AA68:AA80,"=33299672",O68:O80),2)</f>
        <v>3192738.52</v>
      </c>
      <c r="AC82" s="2">
        <f>ROUND(SUMIF(AA68:AA80,"=33299672",P68:P80),2)</f>
        <v>4329.07</v>
      </c>
      <c r="AD82" s="2">
        <f>ROUND(SUMIF(AA68:AA80,"=33299672",Q68:Q80),2)</f>
        <v>2374180.81</v>
      </c>
      <c r="AE82" s="2">
        <f>ROUND(SUMIF(AA68:AA80,"=33299672",R68:R80),2)</f>
        <v>992047.12</v>
      </c>
      <c r="AF82" s="2">
        <f>ROUND(SUMIF(AA68:AA80,"=33299672",S68:S80),2)</f>
        <v>814228.64</v>
      </c>
      <c r="AG82" s="2">
        <f>ROUND(SUMIF(AA68:AA80,"=33299672",T68:T80),2)</f>
        <v>0</v>
      </c>
      <c r="AH82" s="2">
        <f>SUMIF(AA68:AA80,"=33299672",U68:U80)</f>
        <v>2893.6261360000003</v>
      </c>
      <c r="AI82" s="2">
        <f>SUMIF(AA68:AA80,"=33299672",V68:V80)</f>
        <v>0</v>
      </c>
      <c r="AJ82" s="2">
        <f>ROUND(SUMIF(AA68:AA80,"=33299672",W68:W80),2)</f>
        <v>0</v>
      </c>
      <c r="AK82" s="2">
        <f>ROUND(SUMIF(AA68:AA80,"=33299672",X68:X80),2)</f>
        <v>569960.03</v>
      </c>
      <c r="AL82" s="2">
        <f>ROUND(SUMIF(AA68:AA80,"=33299672",Y68:Y80),2)</f>
        <v>81422.86</v>
      </c>
      <c r="AM82" s="2"/>
      <c r="AN82" s="2"/>
      <c r="AO82" s="2">
        <f t="shared" ref="AO82:BC82" si="102">ROUND(BX82,2)</f>
        <v>0</v>
      </c>
      <c r="AP82" s="2">
        <f t="shared" si="102"/>
        <v>0</v>
      </c>
      <c r="AQ82" s="2">
        <f t="shared" si="102"/>
        <v>0</v>
      </c>
      <c r="AR82" s="2">
        <f t="shared" si="102"/>
        <v>4915532.29</v>
      </c>
      <c r="AS82" s="2">
        <f t="shared" si="102"/>
        <v>0</v>
      </c>
      <c r="AT82" s="2">
        <f t="shared" si="102"/>
        <v>0</v>
      </c>
      <c r="AU82" s="2">
        <f t="shared" si="102"/>
        <v>4915532.29</v>
      </c>
      <c r="AV82" s="2">
        <f t="shared" si="102"/>
        <v>4329.07</v>
      </c>
      <c r="AW82" s="2">
        <f t="shared" si="102"/>
        <v>4329.07</v>
      </c>
      <c r="AX82" s="2">
        <f t="shared" si="102"/>
        <v>0</v>
      </c>
      <c r="AY82" s="2">
        <f t="shared" si="102"/>
        <v>4329.07</v>
      </c>
      <c r="AZ82" s="2">
        <f t="shared" si="102"/>
        <v>0</v>
      </c>
      <c r="BA82" s="2">
        <f t="shared" si="102"/>
        <v>0</v>
      </c>
      <c r="BB82" s="2">
        <f t="shared" si="102"/>
        <v>0</v>
      </c>
      <c r="BC82" s="2">
        <f t="shared" si="102"/>
        <v>0</v>
      </c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2"/>
      <c r="BQ82" s="2"/>
      <c r="BR82" s="2"/>
      <c r="BS82" s="2"/>
      <c r="BT82" s="2"/>
      <c r="BU82" s="2"/>
      <c r="BV82" s="2"/>
      <c r="BW82" s="2"/>
      <c r="BX82" s="2">
        <f>ROUND(SUMIF(AA68:AA80,"=33299672",FQ68:FQ80),2)</f>
        <v>0</v>
      </c>
      <c r="BY82" s="2">
        <f>ROUND(SUMIF(AA68:AA80,"=33299672",FR68:FR80),2)</f>
        <v>0</v>
      </c>
      <c r="BZ82" s="2">
        <f>ROUND(SUMIF(AA68:AA80,"=33299672",GL68:GL80),2)</f>
        <v>0</v>
      </c>
      <c r="CA82" s="2">
        <f>ROUND(SUMIF(AA68:AA80,"=33299672",GM68:GM80),2)</f>
        <v>4915532.29</v>
      </c>
      <c r="CB82" s="2">
        <f>ROUND(SUMIF(AA68:AA80,"=33299672",GN68:GN80),2)</f>
        <v>0</v>
      </c>
      <c r="CC82" s="2">
        <f>ROUND(SUMIF(AA68:AA80,"=33299672",GO68:GO80),2)</f>
        <v>0</v>
      </c>
      <c r="CD82" s="2">
        <f>ROUND(SUMIF(AA68:AA80,"=33299672",GP68:GP80),2)</f>
        <v>4915532.29</v>
      </c>
      <c r="CE82" s="2">
        <f>AC82-BX82</f>
        <v>4329.07</v>
      </c>
      <c r="CF82" s="2">
        <f>AC82-BY82</f>
        <v>4329.07</v>
      </c>
      <c r="CG82" s="2">
        <f>BX82-BZ82</f>
        <v>0</v>
      </c>
      <c r="CH82" s="2">
        <f>AC82-BX82-BY82+BZ82</f>
        <v>4329.07</v>
      </c>
      <c r="CI82" s="2">
        <f>BY82-BZ82</f>
        <v>0</v>
      </c>
      <c r="CJ82" s="2">
        <f>ROUND(SUMIF(AA68:AA80,"=33299672",GX68:GX80),2)</f>
        <v>0</v>
      </c>
      <c r="CK82" s="2">
        <f>ROUND(SUMIF(AA68:AA80,"=33299672",GY68:GY80),2)</f>
        <v>0</v>
      </c>
      <c r="CL82" s="2">
        <f>ROUND(SUMIF(AA68:AA80,"=33299672",GZ68:GZ80),2)</f>
        <v>0</v>
      </c>
      <c r="CM82" s="2"/>
      <c r="CN82" s="2"/>
      <c r="CO82" s="2"/>
      <c r="CP82" s="2"/>
      <c r="CQ82" s="2"/>
      <c r="CR82" s="2"/>
      <c r="CS82" s="2"/>
      <c r="CT82" s="2"/>
      <c r="CU82" s="2"/>
      <c r="CV82" s="2"/>
      <c r="CW82" s="2"/>
      <c r="CX82" s="2"/>
      <c r="CY82" s="2"/>
      <c r="CZ82" s="2"/>
      <c r="DA82" s="2"/>
      <c r="DB82" s="2"/>
      <c r="DC82" s="2"/>
      <c r="DD82" s="2"/>
      <c r="DE82" s="2"/>
      <c r="DF82" s="2"/>
      <c r="DG82" s="3"/>
      <c r="DH82" s="3"/>
      <c r="DI82" s="3"/>
      <c r="DJ82" s="3"/>
      <c r="DK82" s="3"/>
      <c r="DL82" s="3"/>
      <c r="DM82" s="3"/>
      <c r="DN82" s="3"/>
      <c r="DO82" s="3"/>
      <c r="DP82" s="3"/>
      <c r="DQ82" s="3"/>
      <c r="DR82" s="3"/>
      <c r="DS82" s="3"/>
      <c r="DT82" s="3"/>
      <c r="DU82" s="3"/>
      <c r="DV82" s="3"/>
      <c r="DW82" s="3"/>
      <c r="DX82" s="3"/>
      <c r="DY82" s="3"/>
      <c r="DZ82" s="3"/>
      <c r="EA82" s="3"/>
      <c r="EB82" s="3"/>
      <c r="EC82" s="3"/>
      <c r="ED82" s="3"/>
      <c r="EE82" s="3"/>
      <c r="EF82" s="3"/>
      <c r="EG82" s="3"/>
      <c r="EH82" s="3"/>
      <c r="EI82" s="3"/>
      <c r="EJ82" s="3"/>
      <c r="EK82" s="3"/>
      <c r="EL82" s="3"/>
      <c r="EM82" s="3"/>
      <c r="EN82" s="3"/>
      <c r="EO82" s="3"/>
      <c r="EP82" s="3"/>
      <c r="EQ82" s="3"/>
      <c r="ER82" s="3"/>
      <c r="ES82" s="3"/>
      <c r="ET82" s="3"/>
      <c r="EU82" s="3"/>
      <c r="EV82" s="3"/>
      <c r="EW82" s="3"/>
      <c r="EX82" s="3"/>
      <c r="EY82" s="3"/>
      <c r="EZ82" s="3"/>
      <c r="FA82" s="3"/>
      <c r="FB82" s="3"/>
      <c r="FC82" s="3"/>
      <c r="FD82" s="3"/>
      <c r="FE82" s="3"/>
      <c r="FF82" s="3"/>
      <c r="FG82" s="3"/>
      <c r="FH82" s="3"/>
      <c r="FI82" s="3"/>
      <c r="FJ82" s="3"/>
      <c r="FK82" s="3"/>
      <c r="FL82" s="3"/>
      <c r="FM82" s="3"/>
      <c r="FN82" s="3"/>
      <c r="FO82" s="3"/>
      <c r="FP82" s="3"/>
      <c r="FQ82" s="3"/>
      <c r="FR82" s="3"/>
      <c r="FS82" s="3"/>
      <c r="FT82" s="3"/>
      <c r="FU82" s="3"/>
      <c r="FV82" s="3"/>
      <c r="FW82" s="3"/>
      <c r="FX82" s="3"/>
      <c r="FY82" s="3"/>
      <c r="FZ82" s="3"/>
      <c r="GA82" s="3"/>
      <c r="GB82" s="3"/>
      <c r="GC82" s="3"/>
      <c r="GD82" s="3"/>
      <c r="GE82" s="3"/>
      <c r="GF82" s="3"/>
      <c r="GG82" s="3"/>
      <c r="GH82" s="3"/>
      <c r="GI82" s="3"/>
      <c r="GJ82" s="3"/>
      <c r="GK82" s="3"/>
      <c r="GL82" s="3"/>
      <c r="GM82" s="3"/>
      <c r="GN82" s="3"/>
      <c r="GO82" s="3"/>
      <c r="GP82" s="3"/>
      <c r="GQ82" s="3"/>
      <c r="GR82" s="3"/>
      <c r="GS82" s="3"/>
      <c r="GT82" s="3"/>
      <c r="GU82" s="3"/>
      <c r="GV82" s="3"/>
      <c r="GW82" s="3"/>
      <c r="GX82" s="3">
        <v>0</v>
      </c>
    </row>
    <row r="84" spans="1:206" x14ac:dyDescent="0.2">
      <c r="A84" s="4">
        <v>50</v>
      </c>
      <c r="B84" s="4">
        <v>0</v>
      </c>
      <c r="C84" s="4">
        <v>0</v>
      </c>
      <c r="D84" s="4">
        <v>1</v>
      </c>
      <c r="E84" s="4">
        <v>201</v>
      </c>
      <c r="F84" s="4">
        <f>ROUND(Source!O82,O84)</f>
        <v>3192738.52</v>
      </c>
      <c r="G84" s="4" t="s">
        <v>45</v>
      </c>
      <c r="H84" s="4" t="s">
        <v>46</v>
      </c>
      <c r="I84" s="4"/>
      <c r="J84" s="4"/>
      <c r="K84" s="4">
        <v>201</v>
      </c>
      <c r="L84" s="4">
        <v>1</v>
      </c>
      <c r="M84" s="4">
        <v>3</v>
      </c>
      <c r="N84" s="4" t="s">
        <v>3</v>
      </c>
      <c r="O84" s="4">
        <v>2</v>
      </c>
      <c r="P84" s="4"/>
      <c r="Q84" s="4"/>
      <c r="R84" s="4"/>
      <c r="S84" s="4"/>
      <c r="T84" s="4"/>
      <c r="U84" s="4"/>
      <c r="V84" s="4"/>
      <c r="W84" s="4"/>
    </row>
    <row r="85" spans="1:206" x14ac:dyDescent="0.2">
      <c r="A85" s="4">
        <v>50</v>
      </c>
      <c r="B85" s="4">
        <v>0</v>
      </c>
      <c r="C85" s="4">
        <v>0</v>
      </c>
      <c r="D85" s="4">
        <v>1</v>
      </c>
      <c r="E85" s="4">
        <v>202</v>
      </c>
      <c r="F85" s="4">
        <f>ROUND(Source!P82,O85)</f>
        <v>4329.07</v>
      </c>
      <c r="G85" s="4" t="s">
        <v>47</v>
      </c>
      <c r="H85" s="4" t="s">
        <v>48</v>
      </c>
      <c r="I85" s="4"/>
      <c r="J85" s="4"/>
      <c r="K85" s="4">
        <v>202</v>
      </c>
      <c r="L85" s="4">
        <v>2</v>
      </c>
      <c r="M85" s="4">
        <v>3</v>
      </c>
      <c r="N85" s="4" t="s">
        <v>3</v>
      </c>
      <c r="O85" s="4">
        <v>2</v>
      </c>
      <c r="P85" s="4"/>
      <c r="Q85" s="4"/>
      <c r="R85" s="4"/>
      <c r="S85" s="4"/>
      <c r="T85" s="4"/>
      <c r="U85" s="4"/>
      <c r="V85" s="4"/>
      <c r="W85" s="4"/>
    </row>
    <row r="86" spans="1:206" x14ac:dyDescent="0.2">
      <c r="A86" s="4">
        <v>50</v>
      </c>
      <c r="B86" s="4">
        <v>0</v>
      </c>
      <c r="C86" s="4">
        <v>0</v>
      </c>
      <c r="D86" s="4">
        <v>1</v>
      </c>
      <c r="E86" s="4">
        <v>222</v>
      </c>
      <c r="F86" s="4">
        <f>ROUND(Source!AO82,O86)</f>
        <v>0</v>
      </c>
      <c r="G86" s="4" t="s">
        <v>49</v>
      </c>
      <c r="H86" s="4" t="s">
        <v>50</v>
      </c>
      <c r="I86" s="4"/>
      <c r="J86" s="4"/>
      <c r="K86" s="4">
        <v>222</v>
      </c>
      <c r="L86" s="4">
        <v>3</v>
      </c>
      <c r="M86" s="4">
        <v>3</v>
      </c>
      <c r="N86" s="4" t="s">
        <v>3</v>
      </c>
      <c r="O86" s="4">
        <v>2</v>
      </c>
      <c r="P86" s="4"/>
      <c r="Q86" s="4"/>
      <c r="R86" s="4"/>
      <c r="S86" s="4"/>
      <c r="T86" s="4"/>
      <c r="U86" s="4"/>
      <c r="V86" s="4"/>
      <c r="W86" s="4"/>
    </row>
    <row r="87" spans="1:206" x14ac:dyDescent="0.2">
      <c r="A87" s="4">
        <v>50</v>
      </c>
      <c r="B87" s="4">
        <v>0</v>
      </c>
      <c r="C87" s="4">
        <v>0</v>
      </c>
      <c r="D87" s="4">
        <v>1</v>
      </c>
      <c r="E87" s="4">
        <v>225</v>
      </c>
      <c r="F87" s="4">
        <f>ROUND(Source!AV82,O87)</f>
        <v>4329.07</v>
      </c>
      <c r="G87" s="4" t="s">
        <v>51</v>
      </c>
      <c r="H87" s="4" t="s">
        <v>52</v>
      </c>
      <c r="I87" s="4"/>
      <c r="J87" s="4"/>
      <c r="K87" s="4">
        <v>225</v>
      </c>
      <c r="L87" s="4">
        <v>4</v>
      </c>
      <c r="M87" s="4">
        <v>3</v>
      </c>
      <c r="N87" s="4" t="s">
        <v>3</v>
      </c>
      <c r="O87" s="4">
        <v>2</v>
      </c>
      <c r="P87" s="4"/>
      <c r="Q87" s="4"/>
      <c r="R87" s="4"/>
      <c r="S87" s="4"/>
      <c r="T87" s="4"/>
      <c r="U87" s="4"/>
      <c r="V87" s="4"/>
      <c r="W87" s="4"/>
    </row>
    <row r="88" spans="1:206" x14ac:dyDescent="0.2">
      <c r="A88" s="4">
        <v>50</v>
      </c>
      <c r="B88" s="4">
        <v>0</v>
      </c>
      <c r="C88" s="4">
        <v>0</v>
      </c>
      <c r="D88" s="4">
        <v>1</v>
      </c>
      <c r="E88" s="4">
        <v>226</v>
      </c>
      <c r="F88" s="4">
        <f>ROUND(Source!AW82,O88)</f>
        <v>4329.07</v>
      </c>
      <c r="G88" s="4" t="s">
        <v>53</v>
      </c>
      <c r="H88" s="4" t="s">
        <v>54</v>
      </c>
      <c r="I88" s="4"/>
      <c r="J88" s="4"/>
      <c r="K88" s="4">
        <v>226</v>
      </c>
      <c r="L88" s="4">
        <v>5</v>
      </c>
      <c r="M88" s="4">
        <v>3</v>
      </c>
      <c r="N88" s="4" t="s">
        <v>3</v>
      </c>
      <c r="O88" s="4">
        <v>2</v>
      </c>
      <c r="P88" s="4"/>
      <c r="Q88" s="4"/>
      <c r="R88" s="4"/>
      <c r="S88" s="4"/>
      <c r="T88" s="4"/>
      <c r="U88" s="4"/>
      <c r="V88" s="4"/>
      <c r="W88" s="4"/>
    </row>
    <row r="89" spans="1:206" x14ac:dyDescent="0.2">
      <c r="A89" s="4">
        <v>50</v>
      </c>
      <c r="B89" s="4">
        <v>0</v>
      </c>
      <c r="C89" s="4">
        <v>0</v>
      </c>
      <c r="D89" s="4">
        <v>1</v>
      </c>
      <c r="E89" s="4">
        <v>227</v>
      </c>
      <c r="F89" s="4">
        <f>ROUND(Source!AX82,O89)</f>
        <v>0</v>
      </c>
      <c r="G89" s="4" t="s">
        <v>55</v>
      </c>
      <c r="H89" s="4" t="s">
        <v>56</v>
      </c>
      <c r="I89" s="4"/>
      <c r="J89" s="4"/>
      <c r="K89" s="4">
        <v>227</v>
      </c>
      <c r="L89" s="4">
        <v>6</v>
      </c>
      <c r="M89" s="4">
        <v>3</v>
      </c>
      <c r="N89" s="4" t="s">
        <v>3</v>
      </c>
      <c r="O89" s="4">
        <v>2</v>
      </c>
      <c r="P89" s="4"/>
      <c r="Q89" s="4"/>
      <c r="R89" s="4"/>
      <c r="S89" s="4"/>
      <c r="T89" s="4"/>
      <c r="U89" s="4"/>
      <c r="V89" s="4"/>
      <c r="W89" s="4"/>
    </row>
    <row r="90" spans="1:206" x14ac:dyDescent="0.2">
      <c r="A90" s="4">
        <v>50</v>
      </c>
      <c r="B90" s="4">
        <v>0</v>
      </c>
      <c r="C90" s="4">
        <v>0</v>
      </c>
      <c r="D90" s="4">
        <v>1</v>
      </c>
      <c r="E90" s="4">
        <v>228</v>
      </c>
      <c r="F90" s="4">
        <f>ROUND(Source!AY82,O90)</f>
        <v>4329.07</v>
      </c>
      <c r="G90" s="4" t="s">
        <v>57</v>
      </c>
      <c r="H90" s="4" t="s">
        <v>58</v>
      </c>
      <c r="I90" s="4"/>
      <c r="J90" s="4"/>
      <c r="K90" s="4">
        <v>228</v>
      </c>
      <c r="L90" s="4">
        <v>7</v>
      </c>
      <c r="M90" s="4">
        <v>3</v>
      </c>
      <c r="N90" s="4" t="s">
        <v>3</v>
      </c>
      <c r="O90" s="4">
        <v>2</v>
      </c>
      <c r="P90" s="4"/>
      <c r="Q90" s="4"/>
      <c r="R90" s="4"/>
      <c r="S90" s="4"/>
      <c r="T90" s="4"/>
      <c r="U90" s="4"/>
      <c r="V90" s="4"/>
      <c r="W90" s="4"/>
    </row>
    <row r="91" spans="1:206" x14ac:dyDescent="0.2">
      <c r="A91" s="4">
        <v>50</v>
      </c>
      <c r="B91" s="4">
        <v>0</v>
      </c>
      <c r="C91" s="4">
        <v>0</v>
      </c>
      <c r="D91" s="4">
        <v>1</v>
      </c>
      <c r="E91" s="4">
        <v>216</v>
      </c>
      <c r="F91" s="4">
        <f>ROUND(Source!AP82,O91)</f>
        <v>0</v>
      </c>
      <c r="G91" s="4" t="s">
        <v>59</v>
      </c>
      <c r="H91" s="4" t="s">
        <v>60</v>
      </c>
      <c r="I91" s="4"/>
      <c r="J91" s="4"/>
      <c r="K91" s="4">
        <v>216</v>
      </c>
      <c r="L91" s="4">
        <v>8</v>
      </c>
      <c r="M91" s="4">
        <v>3</v>
      </c>
      <c r="N91" s="4" t="s">
        <v>3</v>
      </c>
      <c r="O91" s="4">
        <v>2</v>
      </c>
      <c r="P91" s="4"/>
      <c r="Q91" s="4"/>
      <c r="R91" s="4"/>
      <c r="S91" s="4"/>
      <c r="T91" s="4"/>
      <c r="U91" s="4"/>
      <c r="V91" s="4"/>
      <c r="W91" s="4"/>
    </row>
    <row r="92" spans="1:206" x14ac:dyDescent="0.2">
      <c r="A92" s="4">
        <v>50</v>
      </c>
      <c r="B92" s="4">
        <v>0</v>
      </c>
      <c r="C92" s="4">
        <v>0</v>
      </c>
      <c r="D92" s="4">
        <v>1</v>
      </c>
      <c r="E92" s="4">
        <v>223</v>
      </c>
      <c r="F92" s="4">
        <f>ROUND(Source!AQ82,O92)</f>
        <v>0</v>
      </c>
      <c r="G92" s="4" t="s">
        <v>61</v>
      </c>
      <c r="H92" s="4" t="s">
        <v>62</v>
      </c>
      <c r="I92" s="4"/>
      <c r="J92" s="4"/>
      <c r="K92" s="4">
        <v>223</v>
      </c>
      <c r="L92" s="4">
        <v>9</v>
      </c>
      <c r="M92" s="4">
        <v>3</v>
      </c>
      <c r="N92" s="4" t="s">
        <v>3</v>
      </c>
      <c r="O92" s="4">
        <v>2</v>
      </c>
      <c r="P92" s="4"/>
      <c r="Q92" s="4"/>
      <c r="R92" s="4"/>
      <c r="S92" s="4"/>
      <c r="T92" s="4"/>
      <c r="U92" s="4"/>
      <c r="V92" s="4"/>
      <c r="W92" s="4"/>
    </row>
    <row r="93" spans="1:206" x14ac:dyDescent="0.2">
      <c r="A93" s="4">
        <v>50</v>
      </c>
      <c r="B93" s="4">
        <v>0</v>
      </c>
      <c r="C93" s="4">
        <v>0</v>
      </c>
      <c r="D93" s="4">
        <v>1</v>
      </c>
      <c r="E93" s="4">
        <v>229</v>
      </c>
      <c r="F93" s="4">
        <f>ROUND(Source!AZ82,O93)</f>
        <v>0</v>
      </c>
      <c r="G93" s="4" t="s">
        <v>63</v>
      </c>
      <c r="H93" s="4" t="s">
        <v>64</v>
      </c>
      <c r="I93" s="4"/>
      <c r="J93" s="4"/>
      <c r="K93" s="4">
        <v>229</v>
      </c>
      <c r="L93" s="4">
        <v>10</v>
      </c>
      <c r="M93" s="4">
        <v>3</v>
      </c>
      <c r="N93" s="4" t="s">
        <v>3</v>
      </c>
      <c r="O93" s="4">
        <v>2</v>
      </c>
      <c r="P93" s="4"/>
      <c r="Q93" s="4"/>
      <c r="R93" s="4"/>
      <c r="S93" s="4"/>
      <c r="T93" s="4"/>
      <c r="U93" s="4"/>
      <c r="V93" s="4"/>
      <c r="W93" s="4"/>
    </row>
    <row r="94" spans="1:206" x14ac:dyDescent="0.2">
      <c r="A94" s="4">
        <v>50</v>
      </c>
      <c r="B94" s="4">
        <v>0</v>
      </c>
      <c r="C94" s="4">
        <v>0</v>
      </c>
      <c r="D94" s="4">
        <v>1</v>
      </c>
      <c r="E94" s="4">
        <v>203</v>
      </c>
      <c r="F94" s="4">
        <f>ROUND(Source!Q82,O94)</f>
        <v>2374180.81</v>
      </c>
      <c r="G94" s="4" t="s">
        <v>65</v>
      </c>
      <c r="H94" s="4" t="s">
        <v>66</v>
      </c>
      <c r="I94" s="4"/>
      <c r="J94" s="4"/>
      <c r="K94" s="4">
        <v>203</v>
      </c>
      <c r="L94" s="4">
        <v>11</v>
      </c>
      <c r="M94" s="4">
        <v>3</v>
      </c>
      <c r="N94" s="4" t="s">
        <v>3</v>
      </c>
      <c r="O94" s="4">
        <v>2</v>
      </c>
      <c r="P94" s="4"/>
      <c r="Q94" s="4"/>
      <c r="R94" s="4"/>
      <c r="S94" s="4"/>
      <c r="T94" s="4"/>
      <c r="U94" s="4"/>
      <c r="V94" s="4"/>
      <c r="W94" s="4"/>
    </row>
    <row r="95" spans="1:206" x14ac:dyDescent="0.2">
      <c r="A95" s="4">
        <v>50</v>
      </c>
      <c r="B95" s="4">
        <v>0</v>
      </c>
      <c r="C95" s="4">
        <v>0</v>
      </c>
      <c r="D95" s="4">
        <v>1</v>
      </c>
      <c r="E95" s="4">
        <v>231</v>
      </c>
      <c r="F95" s="4">
        <f>ROUND(Source!BB82,O95)</f>
        <v>0</v>
      </c>
      <c r="G95" s="4" t="s">
        <v>67</v>
      </c>
      <c r="H95" s="4" t="s">
        <v>68</v>
      </c>
      <c r="I95" s="4"/>
      <c r="J95" s="4"/>
      <c r="K95" s="4">
        <v>231</v>
      </c>
      <c r="L95" s="4">
        <v>12</v>
      </c>
      <c r="M95" s="4">
        <v>3</v>
      </c>
      <c r="N95" s="4" t="s">
        <v>3</v>
      </c>
      <c r="O95" s="4">
        <v>2</v>
      </c>
      <c r="P95" s="4"/>
      <c r="Q95" s="4"/>
      <c r="R95" s="4"/>
      <c r="S95" s="4"/>
      <c r="T95" s="4"/>
      <c r="U95" s="4"/>
      <c r="V95" s="4"/>
      <c r="W95" s="4"/>
    </row>
    <row r="96" spans="1:206" x14ac:dyDescent="0.2">
      <c r="A96" s="4">
        <v>50</v>
      </c>
      <c r="B96" s="4">
        <v>0</v>
      </c>
      <c r="C96" s="4">
        <v>0</v>
      </c>
      <c r="D96" s="4">
        <v>1</v>
      </c>
      <c r="E96" s="4">
        <v>204</v>
      </c>
      <c r="F96" s="4">
        <f>ROUND(Source!R82,O96)</f>
        <v>992047.12</v>
      </c>
      <c r="G96" s="4" t="s">
        <v>69</v>
      </c>
      <c r="H96" s="4" t="s">
        <v>70</v>
      </c>
      <c r="I96" s="4"/>
      <c r="J96" s="4"/>
      <c r="K96" s="4">
        <v>204</v>
      </c>
      <c r="L96" s="4">
        <v>13</v>
      </c>
      <c r="M96" s="4">
        <v>3</v>
      </c>
      <c r="N96" s="4" t="s">
        <v>3</v>
      </c>
      <c r="O96" s="4">
        <v>2</v>
      </c>
      <c r="P96" s="4"/>
      <c r="Q96" s="4"/>
      <c r="R96" s="4"/>
      <c r="S96" s="4"/>
      <c r="T96" s="4"/>
      <c r="U96" s="4"/>
      <c r="V96" s="4"/>
      <c r="W96" s="4"/>
    </row>
    <row r="97" spans="1:206" x14ac:dyDescent="0.2">
      <c r="A97" s="4">
        <v>50</v>
      </c>
      <c r="B97" s="4">
        <v>0</v>
      </c>
      <c r="C97" s="4">
        <v>0</v>
      </c>
      <c r="D97" s="4">
        <v>1</v>
      </c>
      <c r="E97" s="4">
        <v>205</v>
      </c>
      <c r="F97" s="4">
        <f>ROUND(Source!S82,O97)</f>
        <v>814228.64</v>
      </c>
      <c r="G97" s="4" t="s">
        <v>71</v>
      </c>
      <c r="H97" s="4" t="s">
        <v>72</v>
      </c>
      <c r="I97" s="4"/>
      <c r="J97" s="4"/>
      <c r="K97" s="4">
        <v>205</v>
      </c>
      <c r="L97" s="4">
        <v>14</v>
      </c>
      <c r="M97" s="4">
        <v>3</v>
      </c>
      <c r="N97" s="4" t="s">
        <v>3</v>
      </c>
      <c r="O97" s="4">
        <v>2</v>
      </c>
      <c r="P97" s="4"/>
      <c r="Q97" s="4"/>
      <c r="R97" s="4"/>
      <c r="S97" s="4"/>
      <c r="T97" s="4"/>
      <c r="U97" s="4"/>
      <c r="V97" s="4"/>
      <c r="W97" s="4"/>
    </row>
    <row r="98" spans="1:206" x14ac:dyDescent="0.2">
      <c r="A98" s="4">
        <v>50</v>
      </c>
      <c r="B98" s="4">
        <v>0</v>
      </c>
      <c r="C98" s="4">
        <v>0</v>
      </c>
      <c r="D98" s="4">
        <v>1</v>
      </c>
      <c r="E98" s="4">
        <v>232</v>
      </c>
      <c r="F98" s="4">
        <f>ROUND(Source!BC82,O98)</f>
        <v>0</v>
      </c>
      <c r="G98" s="4" t="s">
        <v>73</v>
      </c>
      <c r="H98" s="4" t="s">
        <v>74</v>
      </c>
      <c r="I98" s="4"/>
      <c r="J98" s="4"/>
      <c r="K98" s="4">
        <v>232</v>
      </c>
      <c r="L98" s="4">
        <v>15</v>
      </c>
      <c r="M98" s="4">
        <v>3</v>
      </c>
      <c r="N98" s="4" t="s">
        <v>3</v>
      </c>
      <c r="O98" s="4">
        <v>2</v>
      </c>
      <c r="P98" s="4"/>
      <c r="Q98" s="4"/>
      <c r="R98" s="4"/>
      <c r="S98" s="4"/>
      <c r="T98" s="4"/>
      <c r="U98" s="4"/>
      <c r="V98" s="4"/>
      <c r="W98" s="4"/>
    </row>
    <row r="99" spans="1:206" x14ac:dyDescent="0.2">
      <c r="A99" s="4">
        <v>50</v>
      </c>
      <c r="B99" s="4">
        <v>0</v>
      </c>
      <c r="C99" s="4">
        <v>0</v>
      </c>
      <c r="D99" s="4">
        <v>1</v>
      </c>
      <c r="E99" s="4">
        <v>214</v>
      </c>
      <c r="F99" s="4">
        <f>ROUND(Source!AS82,O99)</f>
        <v>0</v>
      </c>
      <c r="G99" s="4" t="s">
        <v>75</v>
      </c>
      <c r="H99" s="4" t="s">
        <v>76</v>
      </c>
      <c r="I99" s="4"/>
      <c r="J99" s="4"/>
      <c r="K99" s="4">
        <v>214</v>
      </c>
      <c r="L99" s="4">
        <v>16</v>
      </c>
      <c r="M99" s="4">
        <v>3</v>
      </c>
      <c r="N99" s="4" t="s">
        <v>3</v>
      </c>
      <c r="O99" s="4">
        <v>2</v>
      </c>
      <c r="P99" s="4"/>
      <c r="Q99" s="4"/>
      <c r="R99" s="4"/>
      <c r="S99" s="4"/>
      <c r="T99" s="4"/>
      <c r="U99" s="4"/>
      <c r="V99" s="4"/>
      <c r="W99" s="4"/>
    </row>
    <row r="100" spans="1:206" x14ac:dyDescent="0.2">
      <c r="A100" s="4">
        <v>50</v>
      </c>
      <c r="B100" s="4">
        <v>0</v>
      </c>
      <c r="C100" s="4">
        <v>0</v>
      </c>
      <c r="D100" s="4">
        <v>1</v>
      </c>
      <c r="E100" s="4">
        <v>215</v>
      </c>
      <c r="F100" s="4">
        <f>ROUND(Source!AT82,O100)</f>
        <v>0</v>
      </c>
      <c r="G100" s="4" t="s">
        <v>77</v>
      </c>
      <c r="H100" s="4" t="s">
        <v>78</v>
      </c>
      <c r="I100" s="4"/>
      <c r="J100" s="4"/>
      <c r="K100" s="4">
        <v>215</v>
      </c>
      <c r="L100" s="4">
        <v>17</v>
      </c>
      <c r="M100" s="4">
        <v>3</v>
      </c>
      <c r="N100" s="4" t="s">
        <v>3</v>
      </c>
      <c r="O100" s="4">
        <v>2</v>
      </c>
      <c r="P100" s="4"/>
      <c r="Q100" s="4"/>
      <c r="R100" s="4"/>
      <c r="S100" s="4"/>
      <c r="T100" s="4"/>
      <c r="U100" s="4"/>
      <c r="V100" s="4"/>
      <c r="W100" s="4"/>
    </row>
    <row r="101" spans="1:206" x14ac:dyDescent="0.2">
      <c r="A101" s="4">
        <v>50</v>
      </c>
      <c r="B101" s="4">
        <v>0</v>
      </c>
      <c r="C101" s="4">
        <v>0</v>
      </c>
      <c r="D101" s="4">
        <v>1</v>
      </c>
      <c r="E101" s="4">
        <v>217</v>
      </c>
      <c r="F101" s="4">
        <f>ROUND(Source!AU82,O101)</f>
        <v>4915532.29</v>
      </c>
      <c r="G101" s="4" t="s">
        <v>79</v>
      </c>
      <c r="H101" s="4" t="s">
        <v>80</v>
      </c>
      <c r="I101" s="4"/>
      <c r="J101" s="4"/>
      <c r="K101" s="4">
        <v>217</v>
      </c>
      <c r="L101" s="4">
        <v>18</v>
      </c>
      <c r="M101" s="4">
        <v>3</v>
      </c>
      <c r="N101" s="4" t="s">
        <v>3</v>
      </c>
      <c r="O101" s="4">
        <v>2</v>
      </c>
      <c r="P101" s="4"/>
      <c r="Q101" s="4"/>
      <c r="R101" s="4"/>
      <c r="S101" s="4"/>
      <c r="T101" s="4"/>
      <c r="U101" s="4"/>
      <c r="V101" s="4"/>
      <c r="W101" s="4"/>
    </row>
    <row r="102" spans="1:206" x14ac:dyDescent="0.2">
      <c r="A102" s="4">
        <v>50</v>
      </c>
      <c r="B102" s="4">
        <v>0</v>
      </c>
      <c r="C102" s="4">
        <v>0</v>
      </c>
      <c r="D102" s="4">
        <v>1</v>
      </c>
      <c r="E102" s="4">
        <v>230</v>
      </c>
      <c r="F102" s="4">
        <f>ROUND(Source!BA82,O102)</f>
        <v>0</v>
      </c>
      <c r="G102" s="4" t="s">
        <v>81</v>
      </c>
      <c r="H102" s="4" t="s">
        <v>82</v>
      </c>
      <c r="I102" s="4"/>
      <c r="J102" s="4"/>
      <c r="K102" s="4">
        <v>230</v>
      </c>
      <c r="L102" s="4">
        <v>19</v>
      </c>
      <c r="M102" s="4">
        <v>3</v>
      </c>
      <c r="N102" s="4" t="s">
        <v>3</v>
      </c>
      <c r="O102" s="4">
        <v>2</v>
      </c>
      <c r="P102" s="4"/>
      <c r="Q102" s="4"/>
      <c r="R102" s="4"/>
      <c r="S102" s="4"/>
      <c r="T102" s="4"/>
      <c r="U102" s="4"/>
      <c r="V102" s="4"/>
      <c r="W102" s="4"/>
    </row>
    <row r="103" spans="1:206" x14ac:dyDescent="0.2">
      <c r="A103" s="4">
        <v>50</v>
      </c>
      <c r="B103" s="4">
        <v>0</v>
      </c>
      <c r="C103" s="4">
        <v>0</v>
      </c>
      <c r="D103" s="4">
        <v>1</v>
      </c>
      <c r="E103" s="4">
        <v>206</v>
      </c>
      <c r="F103" s="4">
        <f>ROUND(Source!T82,O103)</f>
        <v>0</v>
      </c>
      <c r="G103" s="4" t="s">
        <v>83</v>
      </c>
      <c r="H103" s="4" t="s">
        <v>84</v>
      </c>
      <c r="I103" s="4"/>
      <c r="J103" s="4"/>
      <c r="K103" s="4">
        <v>206</v>
      </c>
      <c r="L103" s="4">
        <v>20</v>
      </c>
      <c r="M103" s="4">
        <v>3</v>
      </c>
      <c r="N103" s="4" t="s">
        <v>3</v>
      </c>
      <c r="O103" s="4">
        <v>2</v>
      </c>
      <c r="P103" s="4"/>
      <c r="Q103" s="4"/>
      <c r="R103" s="4"/>
      <c r="S103" s="4"/>
      <c r="T103" s="4"/>
      <c r="U103" s="4"/>
      <c r="V103" s="4"/>
      <c r="W103" s="4"/>
    </row>
    <row r="104" spans="1:206" x14ac:dyDescent="0.2">
      <c r="A104" s="4">
        <v>50</v>
      </c>
      <c r="B104" s="4">
        <v>0</v>
      </c>
      <c r="C104" s="4">
        <v>0</v>
      </c>
      <c r="D104" s="4">
        <v>1</v>
      </c>
      <c r="E104" s="4">
        <v>207</v>
      </c>
      <c r="F104" s="4">
        <f>Source!U82</f>
        <v>2893.6261360000003</v>
      </c>
      <c r="G104" s="4" t="s">
        <v>85</v>
      </c>
      <c r="H104" s="4" t="s">
        <v>86</v>
      </c>
      <c r="I104" s="4"/>
      <c r="J104" s="4"/>
      <c r="K104" s="4">
        <v>207</v>
      </c>
      <c r="L104" s="4">
        <v>21</v>
      </c>
      <c r="M104" s="4">
        <v>3</v>
      </c>
      <c r="N104" s="4" t="s">
        <v>3</v>
      </c>
      <c r="O104" s="4">
        <v>-1</v>
      </c>
      <c r="P104" s="4"/>
      <c r="Q104" s="4"/>
      <c r="R104" s="4"/>
      <c r="S104" s="4"/>
      <c r="T104" s="4"/>
      <c r="U104" s="4"/>
      <c r="V104" s="4"/>
      <c r="W104" s="4"/>
    </row>
    <row r="105" spans="1:206" x14ac:dyDescent="0.2">
      <c r="A105" s="4">
        <v>50</v>
      </c>
      <c r="B105" s="4">
        <v>0</v>
      </c>
      <c r="C105" s="4">
        <v>0</v>
      </c>
      <c r="D105" s="4">
        <v>1</v>
      </c>
      <c r="E105" s="4">
        <v>208</v>
      </c>
      <c r="F105" s="4">
        <f>Source!V82</f>
        <v>0</v>
      </c>
      <c r="G105" s="4" t="s">
        <v>87</v>
      </c>
      <c r="H105" s="4" t="s">
        <v>88</v>
      </c>
      <c r="I105" s="4"/>
      <c r="J105" s="4"/>
      <c r="K105" s="4">
        <v>208</v>
      </c>
      <c r="L105" s="4">
        <v>22</v>
      </c>
      <c r="M105" s="4">
        <v>3</v>
      </c>
      <c r="N105" s="4" t="s">
        <v>3</v>
      </c>
      <c r="O105" s="4">
        <v>-1</v>
      </c>
      <c r="P105" s="4"/>
      <c r="Q105" s="4"/>
      <c r="R105" s="4"/>
      <c r="S105" s="4"/>
      <c r="T105" s="4"/>
      <c r="U105" s="4"/>
      <c r="V105" s="4"/>
      <c r="W105" s="4"/>
    </row>
    <row r="106" spans="1:206" x14ac:dyDescent="0.2">
      <c r="A106" s="4">
        <v>50</v>
      </c>
      <c r="B106" s="4">
        <v>0</v>
      </c>
      <c r="C106" s="4">
        <v>0</v>
      </c>
      <c r="D106" s="4">
        <v>1</v>
      </c>
      <c r="E106" s="4">
        <v>209</v>
      </c>
      <c r="F106" s="4">
        <f>ROUND(Source!W82,O106)</f>
        <v>0</v>
      </c>
      <c r="G106" s="4" t="s">
        <v>89</v>
      </c>
      <c r="H106" s="4" t="s">
        <v>90</v>
      </c>
      <c r="I106" s="4"/>
      <c r="J106" s="4"/>
      <c r="K106" s="4">
        <v>209</v>
      </c>
      <c r="L106" s="4">
        <v>23</v>
      </c>
      <c r="M106" s="4">
        <v>3</v>
      </c>
      <c r="N106" s="4" t="s">
        <v>3</v>
      </c>
      <c r="O106" s="4">
        <v>2</v>
      </c>
      <c r="P106" s="4"/>
      <c r="Q106" s="4"/>
      <c r="R106" s="4"/>
      <c r="S106" s="4"/>
      <c r="T106" s="4"/>
      <c r="U106" s="4"/>
      <c r="V106" s="4"/>
      <c r="W106" s="4"/>
    </row>
    <row r="107" spans="1:206" x14ac:dyDescent="0.2">
      <c r="A107" s="4">
        <v>50</v>
      </c>
      <c r="B107" s="4">
        <v>0</v>
      </c>
      <c r="C107" s="4">
        <v>0</v>
      </c>
      <c r="D107" s="4">
        <v>1</v>
      </c>
      <c r="E107" s="4">
        <v>210</v>
      </c>
      <c r="F107" s="4">
        <f>ROUND(Source!X82,O107)</f>
        <v>569960.03</v>
      </c>
      <c r="G107" s="4" t="s">
        <v>91</v>
      </c>
      <c r="H107" s="4" t="s">
        <v>92</v>
      </c>
      <c r="I107" s="4"/>
      <c r="J107" s="4"/>
      <c r="K107" s="4">
        <v>210</v>
      </c>
      <c r="L107" s="4">
        <v>24</v>
      </c>
      <c r="M107" s="4">
        <v>3</v>
      </c>
      <c r="N107" s="4" t="s">
        <v>3</v>
      </c>
      <c r="O107" s="4">
        <v>2</v>
      </c>
      <c r="P107" s="4"/>
      <c r="Q107" s="4"/>
      <c r="R107" s="4"/>
      <c r="S107" s="4"/>
      <c r="T107" s="4"/>
      <c r="U107" s="4"/>
      <c r="V107" s="4"/>
      <c r="W107" s="4"/>
    </row>
    <row r="108" spans="1:206" x14ac:dyDescent="0.2">
      <c r="A108" s="4">
        <v>50</v>
      </c>
      <c r="B108" s="4">
        <v>0</v>
      </c>
      <c r="C108" s="4">
        <v>0</v>
      </c>
      <c r="D108" s="4">
        <v>1</v>
      </c>
      <c r="E108" s="4">
        <v>211</v>
      </c>
      <c r="F108" s="4">
        <f>ROUND(Source!Y82,O108)</f>
        <v>81422.86</v>
      </c>
      <c r="G108" s="4" t="s">
        <v>93</v>
      </c>
      <c r="H108" s="4" t="s">
        <v>94</v>
      </c>
      <c r="I108" s="4"/>
      <c r="J108" s="4"/>
      <c r="K108" s="4">
        <v>211</v>
      </c>
      <c r="L108" s="4">
        <v>25</v>
      </c>
      <c r="M108" s="4">
        <v>3</v>
      </c>
      <c r="N108" s="4" t="s">
        <v>3</v>
      </c>
      <c r="O108" s="4">
        <v>2</v>
      </c>
      <c r="P108" s="4"/>
      <c r="Q108" s="4"/>
      <c r="R108" s="4"/>
      <c r="S108" s="4"/>
      <c r="T108" s="4"/>
      <c r="U108" s="4"/>
      <c r="V108" s="4"/>
      <c r="W108" s="4"/>
    </row>
    <row r="109" spans="1:206" x14ac:dyDescent="0.2">
      <c r="A109" s="4">
        <v>50</v>
      </c>
      <c r="B109" s="4">
        <v>0</v>
      </c>
      <c r="C109" s="4">
        <v>0</v>
      </c>
      <c r="D109" s="4">
        <v>1</v>
      </c>
      <c r="E109" s="4">
        <v>224</v>
      </c>
      <c r="F109" s="4">
        <f>ROUND(Source!AR82,O109)</f>
        <v>4915532.29</v>
      </c>
      <c r="G109" s="4" t="s">
        <v>95</v>
      </c>
      <c r="H109" s="4" t="s">
        <v>96</v>
      </c>
      <c r="I109" s="4"/>
      <c r="J109" s="4"/>
      <c r="K109" s="4">
        <v>224</v>
      </c>
      <c r="L109" s="4">
        <v>26</v>
      </c>
      <c r="M109" s="4">
        <v>3</v>
      </c>
      <c r="N109" s="4" t="s">
        <v>3</v>
      </c>
      <c r="O109" s="4">
        <v>2</v>
      </c>
      <c r="P109" s="4"/>
      <c r="Q109" s="4"/>
      <c r="R109" s="4"/>
      <c r="S109" s="4"/>
      <c r="T109" s="4"/>
      <c r="U109" s="4"/>
      <c r="V109" s="4"/>
      <c r="W109" s="4"/>
    </row>
    <row r="111" spans="1:206" x14ac:dyDescent="0.2">
      <c r="A111" s="2">
        <v>51</v>
      </c>
      <c r="B111" s="2">
        <f>B20</f>
        <v>1</v>
      </c>
      <c r="C111" s="2">
        <f>A20</f>
        <v>3</v>
      </c>
      <c r="D111" s="2">
        <f>ROW(A20)</f>
        <v>20</v>
      </c>
      <c r="E111" s="2"/>
      <c r="F111" s="2">
        <f>IF(F20&lt;&gt;"",F20,"")</f>
        <v>1</v>
      </c>
      <c r="G111" s="2" t="str">
        <f>IF(G20&lt;&gt;"",G20,"")</f>
        <v>Новая локальная смета</v>
      </c>
      <c r="H111" s="2">
        <v>0</v>
      </c>
      <c r="I111" s="2"/>
      <c r="J111" s="2"/>
      <c r="K111" s="2"/>
      <c r="L111" s="2"/>
      <c r="M111" s="2"/>
      <c r="N111" s="2"/>
      <c r="O111" s="2">
        <f t="shared" ref="O111:T111" si="103">ROUND(O35+O82+AB111,2)</f>
        <v>6978360.5800000001</v>
      </c>
      <c r="P111" s="2">
        <f t="shared" si="103"/>
        <v>4491.71</v>
      </c>
      <c r="Q111" s="2">
        <f t="shared" si="103"/>
        <v>5369880.6699999999</v>
      </c>
      <c r="R111" s="2">
        <f t="shared" si="103"/>
        <v>2264140.63</v>
      </c>
      <c r="S111" s="2">
        <f t="shared" si="103"/>
        <v>1603988.2</v>
      </c>
      <c r="T111" s="2">
        <f t="shared" si="103"/>
        <v>0</v>
      </c>
      <c r="U111" s="2">
        <f>U35+U82+AH111</f>
        <v>6428.8618559999995</v>
      </c>
      <c r="V111" s="2">
        <f>V35+V82+AI111</f>
        <v>0</v>
      </c>
      <c r="W111" s="2">
        <f>ROUND(W35+W82+AJ111,2)</f>
        <v>0</v>
      </c>
      <c r="X111" s="2">
        <f>ROUND(X35+X82+AK111,2)</f>
        <v>1122791.72</v>
      </c>
      <c r="Y111" s="2">
        <f>ROUND(Y35+Y82+AL111,2)</f>
        <v>160398.81</v>
      </c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>
        <f t="shared" ref="AO111:BC111" si="104">ROUND(AO35+AO82+BX111,2)</f>
        <v>0</v>
      </c>
      <c r="AP111" s="2">
        <f t="shared" si="104"/>
        <v>0</v>
      </c>
      <c r="AQ111" s="2">
        <f t="shared" si="104"/>
        <v>0</v>
      </c>
      <c r="AR111" s="2">
        <f t="shared" si="104"/>
        <v>10706822.98</v>
      </c>
      <c r="AS111" s="2">
        <f t="shared" si="104"/>
        <v>0</v>
      </c>
      <c r="AT111" s="2">
        <f t="shared" si="104"/>
        <v>0</v>
      </c>
      <c r="AU111" s="2">
        <f t="shared" si="104"/>
        <v>10706822.98</v>
      </c>
      <c r="AV111" s="2">
        <f t="shared" si="104"/>
        <v>4491.71</v>
      </c>
      <c r="AW111" s="2">
        <f t="shared" si="104"/>
        <v>4491.71</v>
      </c>
      <c r="AX111" s="2">
        <f t="shared" si="104"/>
        <v>0</v>
      </c>
      <c r="AY111" s="2">
        <f t="shared" si="104"/>
        <v>4491.71</v>
      </c>
      <c r="AZ111" s="2">
        <f t="shared" si="104"/>
        <v>0</v>
      </c>
      <c r="BA111" s="2">
        <f t="shared" si="104"/>
        <v>0</v>
      </c>
      <c r="BB111" s="2">
        <f t="shared" si="104"/>
        <v>0</v>
      </c>
      <c r="BC111" s="2">
        <f t="shared" si="104"/>
        <v>0</v>
      </c>
      <c r="BD111" s="2"/>
      <c r="BE111" s="2"/>
      <c r="BF111" s="2"/>
      <c r="BG111" s="2"/>
      <c r="BH111" s="2"/>
      <c r="BI111" s="2"/>
      <c r="BJ111" s="2"/>
      <c r="BK111" s="2"/>
      <c r="BL111" s="2"/>
      <c r="BM111" s="2"/>
      <c r="BN111" s="2"/>
      <c r="BO111" s="2"/>
      <c r="BP111" s="2"/>
      <c r="BQ111" s="2"/>
      <c r="BR111" s="2"/>
      <c r="BS111" s="2"/>
      <c r="BT111" s="2"/>
      <c r="BU111" s="2"/>
      <c r="BV111" s="2"/>
      <c r="BW111" s="2"/>
      <c r="BX111" s="2"/>
      <c r="BY111" s="2"/>
      <c r="BZ111" s="2"/>
      <c r="CA111" s="2"/>
      <c r="CB111" s="2"/>
      <c r="CC111" s="2"/>
      <c r="CD111" s="2"/>
      <c r="CE111" s="2"/>
      <c r="CF111" s="2"/>
      <c r="CG111" s="2"/>
      <c r="CH111" s="2"/>
      <c r="CI111" s="2"/>
      <c r="CJ111" s="2"/>
      <c r="CK111" s="2"/>
      <c r="CL111" s="2"/>
      <c r="CM111" s="2"/>
      <c r="CN111" s="2"/>
      <c r="CO111" s="2"/>
      <c r="CP111" s="2"/>
      <c r="CQ111" s="2"/>
      <c r="CR111" s="2"/>
      <c r="CS111" s="2"/>
      <c r="CT111" s="2"/>
      <c r="CU111" s="2"/>
      <c r="CV111" s="2"/>
      <c r="CW111" s="2"/>
      <c r="CX111" s="2"/>
      <c r="CY111" s="2"/>
      <c r="CZ111" s="2"/>
      <c r="DA111" s="2"/>
      <c r="DB111" s="2"/>
      <c r="DC111" s="2"/>
      <c r="DD111" s="2"/>
      <c r="DE111" s="2"/>
      <c r="DF111" s="2"/>
      <c r="DG111" s="3"/>
      <c r="DH111" s="3"/>
      <c r="DI111" s="3"/>
      <c r="DJ111" s="3"/>
      <c r="DK111" s="3"/>
      <c r="DL111" s="3"/>
      <c r="DM111" s="3"/>
      <c r="DN111" s="3"/>
      <c r="DO111" s="3"/>
      <c r="DP111" s="3"/>
      <c r="DQ111" s="3"/>
      <c r="DR111" s="3"/>
      <c r="DS111" s="3"/>
      <c r="DT111" s="3"/>
      <c r="DU111" s="3"/>
      <c r="DV111" s="3"/>
      <c r="DW111" s="3"/>
      <c r="DX111" s="3"/>
      <c r="DY111" s="3"/>
      <c r="DZ111" s="3"/>
      <c r="EA111" s="3"/>
      <c r="EB111" s="3"/>
      <c r="EC111" s="3"/>
      <c r="ED111" s="3"/>
      <c r="EE111" s="3"/>
      <c r="EF111" s="3"/>
      <c r="EG111" s="3"/>
      <c r="EH111" s="3"/>
      <c r="EI111" s="3"/>
      <c r="EJ111" s="3"/>
      <c r="EK111" s="3"/>
      <c r="EL111" s="3"/>
      <c r="EM111" s="3"/>
      <c r="EN111" s="3"/>
      <c r="EO111" s="3"/>
      <c r="EP111" s="3"/>
      <c r="EQ111" s="3"/>
      <c r="ER111" s="3"/>
      <c r="ES111" s="3"/>
      <c r="ET111" s="3"/>
      <c r="EU111" s="3"/>
      <c r="EV111" s="3"/>
      <c r="EW111" s="3"/>
      <c r="EX111" s="3"/>
      <c r="EY111" s="3"/>
      <c r="EZ111" s="3"/>
      <c r="FA111" s="3"/>
      <c r="FB111" s="3"/>
      <c r="FC111" s="3"/>
      <c r="FD111" s="3"/>
      <c r="FE111" s="3"/>
      <c r="FF111" s="3"/>
      <c r="FG111" s="3"/>
      <c r="FH111" s="3"/>
      <c r="FI111" s="3"/>
      <c r="FJ111" s="3"/>
      <c r="FK111" s="3"/>
      <c r="FL111" s="3"/>
      <c r="FM111" s="3"/>
      <c r="FN111" s="3"/>
      <c r="FO111" s="3"/>
      <c r="FP111" s="3"/>
      <c r="FQ111" s="3"/>
      <c r="FR111" s="3"/>
      <c r="FS111" s="3"/>
      <c r="FT111" s="3"/>
      <c r="FU111" s="3"/>
      <c r="FV111" s="3"/>
      <c r="FW111" s="3"/>
      <c r="FX111" s="3"/>
      <c r="FY111" s="3"/>
      <c r="FZ111" s="3"/>
      <c r="GA111" s="3"/>
      <c r="GB111" s="3"/>
      <c r="GC111" s="3"/>
      <c r="GD111" s="3"/>
      <c r="GE111" s="3"/>
      <c r="GF111" s="3"/>
      <c r="GG111" s="3"/>
      <c r="GH111" s="3"/>
      <c r="GI111" s="3"/>
      <c r="GJ111" s="3"/>
      <c r="GK111" s="3"/>
      <c r="GL111" s="3"/>
      <c r="GM111" s="3"/>
      <c r="GN111" s="3"/>
      <c r="GO111" s="3"/>
      <c r="GP111" s="3"/>
      <c r="GQ111" s="3"/>
      <c r="GR111" s="3"/>
      <c r="GS111" s="3"/>
      <c r="GT111" s="3"/>
      <c r="GU111" s="3"/>
      <c r="GV111" s="3"/>
      <c r="GW111" s="3"/>
      <c r="GX111" s="3">
        <v>0</v>
      </c>
    </row>
    <row r="113" spans="1:23" x14ac:dyDescent="0.2">
      <c r="A113" s="4">
        <v>50</v>
      </c>
      <c r="B113" s="4">
        <v>0</v>
      </c>
      <c r="C113" s="4">
        <v>0</v>
      </c>
      <c r="D113" s="4">
        <v>1</v>
      </c>
      <c r="E113" s="4">
        <v>201</v>
      </c>
      <c r="F113" s="4">
        <f>ROUND(Source!O111,O113)</f>
        <v>6978360.5800000001</v>
      </c>
      <c r="G113" s="4" t="s">
        <v>45</v>
      </c>
      <c r="H113" s="4" t="s">
        <v>46</v>
      </c>
      <c r="I113" s="4"/>
      <c r="J113" s="4"/>
      <c r="K113" s="4">
        <v>201</v>
      </c>
      <c r="L113" s="4">
        <v>1</v>
      </c>
      <c r="M113" s="4">
        <v>3</v>
      </c>
      <c r="N113" s="4" t="s">
        <v>3</v>
      </c>
      <c r="O113" s="4">
        <v>2</v>
      </c>
      <c r="P113" s="4"/>
      <c r="Q113" s="4"/>
      <c r="R113" s="4"/>
      <c r="S113" s="4"/>
      <c r="T113" s="4"/>
      <c r="U113" s="4"/>
      <c r="V113" s="4"/>
      <c r="W113" s="4"/>
    </row>
    <row r="114" spans="1:23" x14ac:dyDescent="0.2">
      <c r="A114" s="4">
        <v>50</v>
      </c>
      <c r="B114" s="4">
        <v>0</v>
      </c>
      <c r="C114" s="4">
        <v>0</v>
      </c>
      <c r="D114" s="4">
        <v>1</v>
      </c>
      <c r="E114" s="4">
        <v>202</v>
      </c>
      <c r="F114" s="4">
        <f>ROUND(Source!P111,O114)</f>
        <v>4491.71</v>
      </c>
      <c r="G114" s="4" t="s">
        <v>47</v>
      </c>
      <c r="H114" s="4" t="s">
        <v>48</v>
      </c>
      <c r="I114" s="4"/>
      <c r="J114" s="4"/>
      <c r="K114" s="4">
        <v>202</v>
      </c>
      <c r="L114" s="4">
        <v>2</v>
      </c>
      <c r="M114" s="4">
        <v>3</v>
      </c>
      <c r="N114" s="4" t="s">
        <v>3</v>
      </c>
      <c r="O114" s="4">
        <v>2</v>
      </c>
      <c r="P114" s="4"/>
      <c r="Q114" s="4"/>
      <c r="R114" s="4"/>
      <c r="S114" s="4"/>
      <c r="T114" s="4"/>
      <c r="U114" s="4"/>
      <c r="V114" s="4"/>
      <c r="W114" s="4"/>
    </row>
    <row r="115" spans="1:23" x14ac:dyDescent="0.2">
      <c r="A115" s="4">
        <v>50</v>
      </c>
      <c r="B115" s="4">
        <v>0</v>
      </c>
      <c r="C115" s="4">
        <v>0</v>
      </c>
      <c r="D115" s="4">
        <v>1</v>
      </c>
      <c r="E115" s="4">
        <v>222</v>
      </c>
      <c r="F115" s="4">
        <f>ROUND(Source!AO111,O115)</f>
        <v>0</v>
      </c>
      <c r="G115" s="4" t="s">
        <v>49</v>
      </c>
      <c r="H115" s="4" t="s">
        <v>50</v>
      </c>
      <c r="I115" s="4"/>
      <c r="J115" s="4"/>
      <c r="K115" s="4">
        <v>222</v>
      </c>
      <c r="L115" s="4">
        <v>3</v>
      </c>
      <c r="M115" s="4">
        <v>3</v>
      </c>
      <c r="N115" s="4" t="s">
        <v>3</v>
      </c>
      <c r="O115" s="4">
        <v>2</v>
      </c>
      <c r="P115" s="4"/>
      <c r="Q115" s="4"/>
      <c r="R115" s="4"/>
      <c r="S115" s="4"/>
      <c r="T115" s="4"/>
      <c r="U115" s="4"/>
      <c r="V115" s="4"/>
      <c r="W115" s="4"/>
    </row>
    <row r="116" spans="1:23" x14ac:dyDescent="0.2">
      <c r="A116" s="4">
        <v>50</v>
      </c>
      <c r="B116" s="4">
        <v>0</v>
      </c>
      <c r="C116" s="4">
        <v>0</v>
      </c>
      <c r="D116" s="4">
        <v>1</v>
      </c>
      <c r="E116" s="4">
        <v>225</v>
      </c>
      <c r="F116" s="4">
        <f>ROUND(Source!AV111,O116)</f>
        <v>4491.71</v>
      </c>
      <c r="G116" s="4" t="s">
        <v>51</v>
      </c>
      <c r="H116" s="4" t="s">
        <v>52</v>
      </c>
      <c r="I116" s="4"/>
      <c r="J116" s="4"/>
      <c r="K116" s="4">
        <v>225</v>
      </c>
      <c r="L116" s="4">
        <v>4</v>
      </c>
      <c r="M116" s="4">
        <v>3</v>
      </c>
      <c r="N116" s="4" t="s">
        <v>3</v>
      </c>
      <c r="O116" s="4">
        <v>2</v>
      </c>
      <c r="P116" s="4"/>
      <c r="Q116" s="4"/>
      <c r="R116" s="4"/>
      <c r="S116" s="4"/>
      <c r="T116" s="4"/>
      <c r="U116" s="4"/>
      <c r="V116" s="4"/>
      <c r="W116" s="4"/>
    </row>
    <row r="117" spans="1:23" x14ac:dyDescent="0.2">
      <c r="A117" s="4">
        <v>50</v>
      </c>
      <c r="B117" s="4">
        <v>0</v>
      </c>
      <c r="C117" s="4">
        <v>0</v>
      </c>
      <c r="D117" s="4">
        <v>1</v>
      </c>
      <c r="E117" s="4">
        <v>226</v>
      </c>
      <c r="F117" s="4">
        <f>ROUND(Source!AW111,O117)</f>
        <v>4491.71</v>
      </c>
      <c r="G117" s="4" t="s">
        <v>53</v>
      </c>
      <c r="H117" s="4" t="s">
        <v>54</v>
      </c>
      <c r="I117" s="4"/>
      <c r="J117" s="4"/>
      <c r="K117" s="4">
        <v>226</v>
      </c>
      <c r="L117" s="4">
        <v>5</v>
      </c>
      <c r="M117" s="4">
        <v>3</v>
      </c>
      <c r="N117" s="4" t="s">
        <v>3</v>
      </c>
      <c r="O117" s="4">
        <v>2</v>
      </c>
      <c r="P117" s="4"/>
      <c r="Q117" s="4"/>
      <c r="R117" s="4"/>
      <c r="S117" s="4"/>
      <c r="T117" s="4"/>
      <c r="U117" s="4"/>
      <c r="V117" s="4"/>
      <c r="W117" s="4"/>
    </row>
    <row r="118" spans="1:23" x14ac:dyDescent="0.2">
      <c r="A118" s="4">
        <v>50</v>
      </c>
      <c r="B118" s="4">
        <v>0</v>
      </c>
      <c r="C118" s="4">
        <v>0</v>
      </c>
      <c r="D118" s="4">
        <v>1</v>
      </c>
      <c r="E118" s="4">
        <v>227</v>
      </c>
      <c r="F118" s="4">
        <f>ROUND(Source!AX111,O118)</f>
        <v>0</v>
      </c>
      <c r="G118" s="4" t="s">
        <v>55</v>
      </c>
      <c r="H118" s="4" t="s">
        <v>56</v>
      </c>
      <c r="I118" s="4"/>
      <c r="J118" s="4"/>
      <c r="K118" s="4">
        <v>227</v>
      </c>
      <c r="L118" s="4">
        <v>6</v>
      </c>
      <c r="M118" s="4">
        <v>3</v>
      </c>
      <c r="N118" s="4" t="s">
        <v>3</v>
      </c>
      <c r="O118" s="4">
        <v>2</v>
      </c>
      <c r="P118" s="4"/>
      <c r="Q118" s="4"/>
      <c r="R118" s="4"/>
      <c r="S118" s="4"/>
      <c r="T118" s="4"/>
      <c r="U118" s="4"/>
      <c r="V118" s="4"/>
      <c r="W118" s="4"/>
    </row>
    <row r="119" spans="1:23" x14ac:dyDescent="0.2">
      <c r="A119" s="4">
        <v>50</v>
      </c>
      <c r="B119" s="4">
        <v>0</v>
      </c>
      <c r="C119" s="4">
        <v>0</v>
      </c>
      <c r="D119" s="4">
        <v>1</v>
      </c>
      <c r="E119" s="4">
        <v>228</v>
      </c>
      <c r="F119" s="4">
        <f>ROUND(Source!AY111,O119)</f>
        <v>4491.71</v>
      </c>
      <c r="G119" s="4" t="s">
        <v>57</v>
      </c>
      <c r="H119" s="4" t="s">
        <v>58</v>
      </c>
      <c r="I119" s="4"/>
      <c r="J119" s="4"/>
      <c r="K119" s="4">
        <v>228</v>
      </c>
      <c r="L119" s="4">
        <v>7</v>
      </c>
      <c r="M119" s="4">
        <v>3</v>
      </c>
      <c r="N119" s="4" t="s">
        <v>3</v>
      </c>
      <c r="O119" s="4">
        <v>2</v>
      </c>
      <c r="P119" s="4"/>
      <c r="Q119" s="4"/>
      <c r="R119" s="4"/>
      <c r="S119" s="4"/>
      <c r="T119" s="4"/>
      <c r="U119" s="4"/>
      <c r="V119" s="4"/>
      <c r="W119" s="4"/>
    </row>
    <row r="120" spans="1:23" x14ac:dyDescent="0.2">
      <c r="A120" s="4">
        <v>50</v>
      </c>
      <c r="B120" s="4">
        <v>0</v>
      </c>
      <c r="C120" s="4">
        <v>0</v>
      </c>
      <c r="D120" s="4">
        <v>1</v>
      </c>
      <c r="E120" s="4">
        <v>216</v>
      </c>
      <c r="F120" s="4">
        <f>ROUND(Source!AP111,O120)</f>
        <v>0</v>
      </c>
      <c r="G120" s="4" t="s">
        <v>59</v>
      </c>
      <c r="H120" s="4" t="s">
        <v>60</v>
      </c>
      <c r="I120" s="4"/>
      <c r="J120" s="4"/>
      <c r="K120" s="4">
        <v>216</v>
      </c>
      <c r="L120" s="4">
        <v>8</v>
      </c>
      <c r="M120" s="4">
        <v>3</v>
      </c>
      <c r="N120" s="4" t="s">
        <v>3</v>
      </c>
      <c r="O120" s="4">
        <v>2</v>
      </c>
      <c r="P120" s="4"/>
      <c r="Q120" s="4"/>
      <c r="R120" s="4"/>
      <c r="S120" s="4"/>
      <c r="T120" s="4"/>
      <c r="U120" s="4"/>
      <c r="V120" s="4"/>
      <c r="W120" s="4"/>
    </row>
    <row r="121" spans="1:23" x14ac:dyDescent="0.2">
      <c r="A121" s="4">
        <v>50</v>
      </c>
      <c r="B121" s="4">
        <v>0</v>
      </c>
      <c r="C121" s="4">
        <v>0</v>
      </c>
      <c r="D121" s="4">
        <v>1</v>
      </c>
      <c r="E121" s="4">
        <v>223</v>
      </c>
      <c r="F121" s="4">
        <f>ROUND(Source!AQ111,O121)</f>
        <v>0</v>
      </c>
      <c r="G121" s="4" t="s">
        <v>61</v>
      </c>
      <c r="H121" s="4" t="s">
        <v>62</v>
      </c>
      <c r="I121" s="4"/>
      <c r="J121" s="4"/>
      <c r="K121" s="4">
        <v>223</v>
      </c>
      <c r="L121" s="4">
        <v>9</v>
      </c>
      <c r="M121" s="4">
        <v>3</v>
      </c>
      <c r="N121" s="4" t="s">
        <v>3</v>
      </c>
      <c r="O121" s="4">
        <v>2</v>
      </c>
      <c r="P121" s="4"/>
      <c r="Q121" s="4"/>
      <c r="R121" s="4"/>
      <c r="S121" s="4"/>
      <c r="T121" s="4"/>
      <c r="U121" s="4"/>
      <c r="V121" s="4"/>
      <c r="W121" s="4"/>
    </row>
    <row r="122" spans="1:23" x14ac:dyDescent="0.2">
      <c r="A122" s="4">
        <v>50</v>
      </c>
      <c r="B122" s="4">
        <v>0</v>
      </c>
      <c r="C122" s="4">
        <v>0</v>
      </c>
      <c r="D122" s="4">
        <v>1</v>
      </c>
      <c r="E122" s="4">
        <v>229</v>
      </c>
      <c r="F122" s="4">
        <f>ROUND(Source!AZ111,O122)</f>
        <v>0</v>
      </c>
      <c r="G122" s="4" t="s">
        <v>63</v>
      </c>
      <c r="H122" s="4" t="s">
        <v>64</v>
      </c>
      <c r="I122" s="4"/>
      <c r="J122" s="4"/>
      <c r="K122" s="4">
        <v>229</v>
      </c>
      <c r="L122" s="4">
        <v>10</v>
      </c>
      <c r="M122" s="4">
        <v>3</v>
      </c>
      <c r="N122" s="4" t="s">
        <v>3</v>
      </c>
      <c r="O122" s="4">
        <v>2</v>
      </c>
      <c r="P122" s="4"/>
      <c r="Q122" s="4"/>
      <c r="R122" s="4"/>
      <c r="S122" s="4"/>
      <c r="T122" s="4"/>
      <c r="U122" s="4"/>
      <c r="V122" s="4"/>
      <c r="W122" s="4"/>
    </row>
    <row r="123" spans="1:23" x14ac:dyDescent="0.2">
      <c r="A123" s="4">
        <v>50</v>
      </c>
      <c r="B123" s="4">
        <v>0</v>
      </c>
      <c r="C123" s="4">
        <v>0</v>
      </c>
      <c r="D123" s="4">
        <v>1</v>
      </c>
      <c r="E123" s="4">
        <v>203</v>
      </c>
      <c r="F123" s="4">
        <f>ROUND(Source!Q111,O123)</f>
        <v>5369880.6699999999</v>
      </c>
      <c r="G123" s="4" t="s">
        <v>65</v>
      </c>
      <c r="H123" s="4" t="s">
        <v>66</v>
      </c>
      <c r="I123" s="4"/>
      <c r="J123" s="4"/>
      <c r="K123" s="4">
        <v>203</v>
      </c>
      <c r="L123" s="4">
        <v>11</v>
      </c>
      <c r="M123" s="4">
        <v>3</v>
      </c>
      <c r="N123" s="4" t="s">
        <v>3</v>
      </c>
      <c r="O123" s="4">
        <v>2</v>
      </c>
      <c r="P123" s="4"/>
      <c r="Q123" s="4"/>
      <c r="R123" s="4"/>
      <c r="S123" s="4"/>
      <c r="T123" s="4"/>
      <c r="U123" s="4"/>
      <c r="V123" s="4"/>
      <c r="W123" s="4"/>
    </row>
    <row r="124" spans="1:23" x14ac:dyDescent="0.2">
      <c r="A124" s="4">
        <v>50</v>
      </c>
      <c r="B124" s="4">
        <v>0</v>
      </c>
      <c r="C124" s="4">
        <v>0</v>
      </c>
      <c r="D124" s="4">
        <v>1</v>
      </c>
      <c r="E124" s="4">
        <v>231</v>
      </c>
      <c r="F124" s="4">
        <f>ROUND(Source!BB111,O124)</f>
        <v>0</v>
      </c>
      <c r="G124" s="4" t="s">
        <v>67</v>
      </c>
      <c r="H124" s="4" t="s">
        <v>68</v>
      </c>
      <c r="I124" s="4"/>
      <c r="J124" s="4"/>
      <c r="K124" s="4">
        <v>231</v>
      </c>
      <c r="L124" s="4">
        <v>12</v>
      </c>
      <c r="M124" s="4">
        <v>3</v>
      </c>
      <c r="N124" s="4" t="s">
        <v>3</v>
      </c>
      <c r="O124" s="4">
        <v>2</v>
      </c>
      <c r="P124" s="4"/>
      <c r="Q124" s="4"/>
      <c r="R124" s="4"/>
      <c r="S124" s="4"/>
      <c r="T124" s="4"/>
      <c r="U124" s="4"/>
      <c r="V124" s="4"/>
      <c r="W124" s="4"/>
    </row>
    <row r="125" spans="1:23" x14ac:dyDescent="0.2">
      <c r="A125" s="4">
        <v>50</v>
      </c>
      <c r="B125" s="4">
        <v>0</v>
      </c>
      <c r="C125" s="4">
        <v>0</v>
      </c>
      <c r="D125" s="4">
        <v>1</v>
      </c>
      <c r="E125" s="4">
        <v>204</v>
      </c>
      <c r="F125" s="4">
        <f>ROUND(Source!R111,O125)</f>
        <v>2264140.63</v>
      </c>
      <c r="G125" s="4" t="s">
        <v>69</v>
      </c>
      <c r="H125" s="4" t="s">
        <v>70</v>
      </c>
      <c r="I125" s="4"/>
      <c r="J125" s="4"/>
      <c r="K125" s="4">
        <v>204</v>
      </c>
      <c r="L125" s="4">
        <v>13</v>
      </c>
      <c r="M125" s="4">
        <v>3</v>
      </c>
      <c r="N125" s="4" t="s">
        <v>3</v>
      </c>
      <c r="O125" s="4">
        <v>2</v>
      </c>
      <c r="P125" s="4"/>
      <c r="Q125" s="4"/>
      <c r="R125" s="4"/>
      <c r="S125" s="4"/>
      <c r="T125" s="4"/>
      <c r="U125" s="4"/>
      <c r="V125" s="4"/>
      <c r="W125" s="4"/>
    </row>
    <row r="126" spans="1:23" x14ac:dyDescent="0.2">
      <c r="A126" s="4">
        <v>50</v>
      </c>
      <c r="B126" s="4">
        <v>0</v>
      </c>
      <c r="C126" s="4">
        <v>0</v>
      </c>
      <c r="D126" s="4">
        <v>1</v>
      </c>
      <c r="E126" s="4">
        <v>205</v>
      </c>
      <c r="F126" s="4">
        <f>ROUND(Source!S111,O126)</f>
        <v>1603988.2</v>
      </c>
      <c r="G126" s="4" t="s">
        <v>71</v>
      </c>
      <c r="H126" s="4" t="s">
        <v>72</v>
      </c>
      <c r="I126" s="4"/>
      <c r="J126" s="4"/>
      <c r="K126" s="4">
        <v>205</v>
      </c>
      <c r="L126" s="4">
        <v>14</v>
      </c>
      <c r="M126" s="4">
        <v>3</v>
      </c>
      <c r="N126" s="4" t="s">
        <v>3</v>
      </c>
      <c r="O126" s="4">
        <v>2</v>
      </c>
      <c r="P126" s="4"/>
      <c r="Q126" s="4"/>
      <c r="R126" s="4"/>
      <c r="S126" s="4"/>
      <c r="T126" s="4"/>
      <c r="U126" s="4"/>
      <c r="V126" s="4"/>
      <c r="W126" s="4"/>
    </row>
    <row r="127" spans="1:23" x14ac:dyDescent="0.2">
      <c r="A127" s="4">
        <v>50</v>
      </c>
      <c r="B127" s="4">
        <v>0</v>
      </c>
      <c r="C127" s="4">
        <v>0</v>
      </c>
      <c r="D127" s="4">
        <v>1</v>
      </c>
      <c r="E127" s="4">
        <v>232</v>
      </c>
      <c r="F127" s="4">
        <f>ROUND(Source!BC111,O127)</f>
        <v>0</v>
      </c>
      <c r="G127" s="4" t="s">
        <v>73</v>
      </c>
      <c r="H127" s="4" t="s">
        <v>74</v>
      </c>
      <c r="I127" s="4"/>
      <c r="J127" s="4"/>
      <c r="K127" s="4">
        <v>232</v>
      </c>
      <c r="L127" s="4">
        <v>15</v>
      </c>
      <c r="M127" s="4">
        <v>3</v>
      </c>
      <c r="N127" s="4" t="s">
        <v>3</v>
      </c>
      <c r="O127" s="4">
        <v>2</v>
      </c>
      <c r="P127" s="4"/>
      <c r="Q127" s="4"/>
      <c r="R127" s="4"/>
      <c r="S127" s="4"/>
      <c r="T127" s="4"/>
      <c r="U127" s="4"/>
      <c r="V127" s="4"/>
      <c r="W127" s="4"/>
    </row>
    <row r="128" spans="1:23" x14ac:dyDescent="0.2">
      <c r="A128" s="4">
        <v>50</v>
      </c>
      <c r="B128" s="4">
        <v>0</v>
      </c>
      <c r="C128" s="4">
        <v>0</v>
      </c>
      <c r="D128" s="4">
        <v>1</v>
      </c>
      <c r="E128" s="4">
        <v>214</v>
      </c>
      <c r="F128" s="4">
        <f>ROUND(Source!AS111,O128)</f>
        <v>0</v>
      </c>
      <c r="G128" s="4" t="s">
        <v>75</v>
      </c>
      <c r="H128" s="4" t="s">
        <v>76</v>
      </c>
      <c r="I128" s="4"/>
      <c r="J128" s="4"/>
      <c r="K128" s="4">
        <v>214</v>
      </c>
      <c r="L128" s="4">
        <v>16</v>
      </c>
      <c r="M128" s="4">
        <v>3</v>
      </c>
      <c r="N128" s="4" t="s">
        <v>3</v>
      </c>
      <c r="O128" s="4">
        <v>2</v>
      </c>
      <c r="P128" s="4"/>
      <c r="Q128" s="4"/>
      <c r="R128" s="4"/>
      <c r="S128" s="4"/>
      <c r="T128" s="4"/>
      <c r="U128" s="4"/>
      <c r="V128" s="4"/>
      <c r="W128" s="4"/>
    </row>
    <row r="129" spans="1:206" x14ac:dyDescent="0.2">
      <c r="A129" s="4">
        <v>50</v>
      </c>
      <c r="B129" s="4">
        <v>0</v>
      </c>
      <c r="C129" s="4">
        <v>0</v>
      </c>
      <c r="D129" s="4">
        <v>1</v>
      </c>
      <c r="E129" s="4">
        <v>215</v>
      </c>
      <c r="F129" s="4">
        <f>ROUND(Source!AT111,O129)</f>
        <v>0</v>
      </c>
      <c r="G129" s="4" t="s">
        <v>77</v>
      </c>
      <c r="H129" s="4" t="s">
        <v>78</v>
      </c>
      <c r="I129" s="4"/>
      <c r="J129" s="4"/>
      <c r="K129" s="4">
        <v>215</v>
      </c>
      <c r="L129" s="4">
        <v>17</v>
      </c>
      <c r="M129" s="4">
        <v>3</v>
      </c>
      <c r="N129" s="4" t="s">
        <v>3</v>
      </c>
      <c r="O129" s="4">
        <v>2</v>
      </c>
      <c r="P129" s="4"/>
      <c r="Q129" s="4"/>
      <c r="R129" s="4"/>
      <c r="S129" s="4"/>
      <c r="T129" s="4"/>
      <c r="U129" s="4"/>
      <c r="V129" s="4"/>
      <c r="W129" s="4"/>
    </row>
    <row r="130" spans="1:206" x14ac:dyDescent="0.2">
      <c r="A130" s="4">
        <v>50</v>
      </c>
      <c r="B130" s="4">
        <v>0</v>
      </c>
      <c r="C130" s="4">
        <v>0</v>
      </c>
      <c r="D130" s="4">
        <v>1</v>
      </c>
      <c r="E130" s="4">
        <v>217</v>
      </c>
      <c r="F130" s="4">
        <f>ROUND(Source!AU111,O130)</f>
        <v>10706822.98</v>
      </c>
      <c r="G130" s="4" t="s">
        <v>79</v>
      </c>
      <c r="H130" s="4" t="s">
        <v>80</v>
      </c>
      <c r="I130" s="4"/>
      <c r="J130" s="4"/>
      <c r="K130" s="4">
        <v>217</v>
      </c>
      <c r="L130" s="4">
        <v>18</v>
      </c>
      <c r="M130" s="4">
        <v>3</v>
      </c>
      <c r="N130" s="4" t="s">
        <v>3</v>
      </c>
      <c r="O130" s="4">
        <v>2</v>
      </c>
      <c r="P130" s="4"/>
      <c r="Q130" s="4"/>
      <c r="R130" s="4"/>
      <c r="S130" s="4"/>
      <c r="T130" s="4"/>
      <c r="U130" s="4"/>
      <c r="V130" s="4"/>
      <c r="W130" s="4"/>
    </row>
    <row r="131" spans="1:206" x14ac:dyDescent="0.2">
      <c r="A131" s="4">
        <v>50</v>
      </c>
      <c r="B131" s="4">
        <v>0</v>
      </c>
      <c r="C131" s="4">
        <v>0</v>
      </c>
      <c r="D131" s="4">
        <v>1</v>
      </c>
      <c r="E131" s="4">
        <v>230</v>
      </c>
      <c r="F131" s="4">
        <f>ROUND(Source!BA111,O131)</f>
        <v>0</v>
      </c>
      <c r="G131" s="4" t="s">
        <v>81</v>
      </c>
      <c r="H131" s="4" t="s">
        <v>82</v>
      </c>
      <c r="I131" s="4"/>
      <c r="J131" s="4"/>
      <c r="K131" s="4">
        <v>230</v>
      </c>
      <c r="L131" s="4">
        <v>19</v>
      </c>
      <c r="M131" s="4">
        <v>3</v>
      </c>
      <c r="N131" s="4" t="s">
        <v>3</v>
      </c>
      <c r="O131" s="4">
        <v>2</v>
      </c>
      <c r="P131" s="4"/>
      <c r="Q131" s="4"/>
      <c r="R131" s="4"/>
      <c r="S131" s="4"/>
      <c r="T131" s="4"/>
      <c r="U131" s="4"/>
      <c r="V131" s="4"/>
      <c r="W131" s="4"/>
    </row>
    <row r="132" spans="1:206" x14ac:dyDescent="0.2">
      <c r="A132" s="4">
        <v>50</v>
      </c>
      <c r="B132" s="4">
        <v>0</v>
      </c>
      <c r="C132" s="4">
        <v>0</v>
      </c>
      <c r="D132" s="4">
        <v>1</v>
      </c>
      <c r="E132" s="4">
        <v>206</v>
      </c>
      <c r="F132" s="4">
        <f>ROUND(Source!T111,O132)</f>
        <v>0</v>
      </c>
      <c r="G132" s="4" t="s">
        <v>83</v>
      </c>
      <c r="H132" s="4" t="s">
        <v>84</v>
      </c>
      <c r="I132" s="4"/>
      <c r="J132" s="4"/>
      <c r="K132" s="4">
        <v>206</v>
      </c>
      <c r="L132" s="4">
        <v>20</v>
      </c>
      <c r="M132" s="4">
        <v>3</v>
      </c>
      <c r="N132" s="4" t="s">
        <v>3</v>
      </c>
      <c r="O132" s="4">
        <v>2</v>
      </c>
      <c r="P132" s="4"/>
      <c r="Q132" s="4"/>
      <c r="R132" s="4"/>
      <c r="S132" s="4"/>
      <c r="T132" s="4"/>
      <c r="U132" s="4"/>
      <c r="V132" s="4"/>
      <c r="W132" s="4"/>
    </row>
    <row r="133" spans="1:206" x14ac:dyDescent="0.2">
      <c r="A133" s="4">
        <v>50</v>
      </c>
      <c r="B133" s="4">
        <v>0</v>
      </c>
      <c r="C133" s="4">
        <v>0</v>
      </c>
      <c r="D133" s="4">
        <v>1</v>
      </c>
      <c r="E133" s="4">
        <v>207</v>
      </c>
      <c r="F133" s="4">
        <f>Source!U111</f>
        <v>6428.8618559999995</v>
      </c>
      <c r="G133" s="4" t="s">
        <v>85</v>
      </c>
      <c r="H133" s="4" t="s">
        <v>86</v>
      </c>
      <c r="I133" s="4"/>
      <c r="J133" s="4"/>
      <c r="K133" s="4">
        <v>207</v>
      </c>
      <c r="L133" s="4">
        <v>21</v>
      </c>
      <c r="M133" s="4">
        <v>3</v>
      </c>
      <c r="N133" s="4" t="s">
        <v>3</v>
      </c>
      <c r="O133" s="4">
        <v>-1</v>
      </c>
      <c r="P133" s="4"/>
      <c r="Q133" s="4"/>
      <c r="R133" s="4"/>
      <c r="S133" s="4"/>
      <c r="T133" s="4"/>
      <c r="U133" s="4"/>
      <c r="V133" s="4"/>
      <c r="W133" s="4"/>
    </row>
    <row r="134" spans="1:206" x14ac:dyDescent="0.2">
      <c r="A134" s="4">
        <v>50</v>
      </c>
      <c r="B134" s="4">
        <v>0</v>
      </c>
      <c r="C134" s="4">
        <v>0</v>
      </c>
      <c r="D134" s="4">
        <v>1</v>
      </c>
      <c r="E134" s="4">
        <v>208</v>
      </c>
      <c r="F134" s="4">
        <f>Source!V111</f>
        <v>0</v>
      </c>
      <c r="G134" s="4" t="s">
        <v>87</v>
      </c>
      <c r="H134" s="4" t="s">
        <v>88</v>
      </c>
      <c r="I134" s="4"/>
      <c r="J134" s="4"/>
      <c r="K134" s="4">
        <v>208</v>
      </c>
      <c r="L134" s="4">
        <v>22</v>
      </c>
      <c r="M134" s="4">
        <v>3</v>
      </c>
      <c r="N134" s="4" t="s">
        <v>3</v>
      </c>
      <c r="O134" s="4">
        <v>-1</v>
      </c>
      <c r="P134" s="4"/>
      <c r="Q134" s="4"/>
      <c r="R134" s="4"/>
      <c r="S134" s="4"/>
      <c r="T134" s="4"/>
      <c r="U134" s="4"/>
      <c r="V134" s="4"/>
      <c r="W134" s="4"/>
    </row>
    <row r="135" spans="1:206" x14ac:dyDescent="0.2">
      <c r="A135" s="4">
        <v>50</v>
      </c>
      <c r="B135" s="4">
        <v>0</v>
      </c>
      <c r="C135" s="4">
        <v>0</v>
      </c>
      <c r="D135" s="4">
        <v>1</v>
      </c>
      <c r="E135" s="4">
        <v>209</v>
      </c>
      <c r="F135" s="4">
        <f>ROUND(Source!W111,O135)</f>
        <v>0</v>
      </c>
      <c r="G135" s="4" t="s">
        <v>89</v>
      </c>
      <c r="H135" s="4" t="s">
        <v>90</v>
      </c>
      <c r="I135" s="4"/>
      <c r="J135" s="4"/>
      <c r="K135" s="4">
        <v>209</v>
      </c>
      <c r="L135" s="4">
        <v>23</v>
      </c>
      <c r="M135" s="4">
        <v>3</v>
      </c>
      <c r="N135" s="4" t="s">
        <v>3</v>
      </c>
      <c r="O135" s="4">
        <v>2</v>
      </c>
      <c r="P135" s="4"/>
      <c r="Q135" s="4"/>
      <c r="R135" s="4"/>
      <c r="S135" s="4"/>
      <c r="T135" s="4"/>
      <c r="U135" s="4"/>
      <c r="V135" s="4"/>
      <c r="W135" s="4"/>
    </row>
    <row r="136" spans="1:206" x14ac:dyDescent="0.2">
      <c r="A136" s="4">
        <v>50</v>
      </c>
      <c r="B136" s="4">
        <v>0</v>
      </c>
      <c r="C136" s="4">
        <v>0</v>
      </c>
      <c r="D136" s="4">
        <v>1</v>
      </c>
      <c r="E136" s="4">
        <v>210</v>
      </c>
      <c r="F136" s="4">
        <f>ROUND(Source!X111,O136)</f>
        <v>1122791.72</v>
      </c>
      <c r="G136" s="4" t="s">
        <v>91</v>
      </c>
      <c r="H136" s="4" t="s">
        <v>92</v>
      </c>
      <c r="I136" s="4"/>
      <c r="J136" s="4"/>
      <c r="K136" s="4">
        <v>210</v>
      </c>
      <c r="L136" s="4">
        <v>24</v>
      </c>
      <c r="M136" s="4">
        <v>3</v>
      </c>
      <c r="N136" s="4" t="s">
        <v>3</v>
      </c>
      <c r="O136" s="4">
        <v>2</v>
      </c>
      <c r="P136" s="4"/>
      <c r="Q136" s="4"/>
      <c r="R136" s="4"/>
      <c r="S136" s="4"/>
      <c r="T136" s="4"/>
      <c r="U136" s="4"/>
      <c r="V136" s="4"/>
      <c r="W136" s="4"/>
    </row>
    <row r="137" spans="1:206" x14ac:dyDescent="0.2">
      <c r="A137" s="4">
        <v>50</v>
      </c>
      <c r="B137" s="4">
        <v>0</v>
      </c>
      <c r="C137" s="4">
        <v>0</v>
      </c>
      <c r="D137" s="4">
        <v>1</v>
      </c>
      <c r="E137" s="4">
        <v>211</v>
      </c>
      <c r="F137" s="4">
        <f>ROUND(Source!Y111,O137)</f>
        <v>160398.81</v>
      </c>
      <c r="G137" s="4" t="s">
        <v>93</v>
      </c>
      <c r="H137" s="4" t="s">
        <v>94</v>
      </c>
      <c r="I137" s="4"/>
      <c r="J137" s="4"/>
      <c r="K137" s="4">
        <v>211</v>
      </c>
      <c r="L137" s="4">
        <v>25</v>
      </c>
      <c r="M137" s="4">
        <v>3</v>
      </c>
      <c r="N137" s="4" t="s">
        <v>3</v>
      </c>
      <c r="O137" s="4">
        <v>2</v>
      </c>
      <c r="P137" s="4"/>
      <c r="Q137" s="4"/>
      <c r="R137" s="4"/>
      <c r="S137" s="4"/>
      <c r="T137" s="4"/>
      <c r="U137" s="4"/>
      <c r="V137" s="4"/>
      <c r="W137" s="4"/>
    </row>
    <row r="138" spans="1:206" x14ac:dyDescent="0.2">
      <c r="A138" s="4">
        <v>50</v>
      </c>
      <c r="B138" s="4">
        <v>0</v>
      </c>
      <c r="C138" s="4">
        <v>0</v>
      </c>
      <c r="D138" s="4">
        <v>1</v>
      </c>
      <c r="E138" s="4">
        <v>224</v>
      </c>
      <c r="F138" s="4">
        <f>ROUND(Source!AR111,O138)</f>
        <v>10706822.98</v>
      </c>
      <c r="G138" s="4" t="s">
        <v>95</v>
      </c>
      <c r="H138" s="4" t="s">
        <v>96</v>
      </c>
      <c r="I138" s="4"/>
      <c r="J138" s="4"/>
      <c r="K138" s="4">
        <v>224</v>
      </c>
      <c r="L138" s="4">
        <v>26</v>
      </c>
      <c r="M138" s="4">
        <v>3</v>
      </c>
      <c r="N138" s="4" t="s">
        <v>3</v>
      </c>
      <c r="O138" s="4">
        <v>2</v>
      </c>
      <c r="P138" s="4"/>
      <c r="Q138" s="4"/>
      <c r="R138" s="4"/>
      <c r="S138" s="4"/>
      <c r="T138" s="4"/>
      <c r="U138" s="4"/>
      <c r="V138" s="4"/>
      <c r="W138" s="4"/>
    </row>
    <row r="140" spans="1:206" x14ac:dyDescent="0.2">
      <c r="A140" s="2">
        <v>51</v>
      </c>
      <c r="B140" s="2">
        <f>B12</f>
        <v>172</v>
      </c>
      <c r="C140" s="2">
        <f>A12</f>
        <v>1</v>
      </c>
      <c r="D140" s="2">
        <f>ROW(A12)</f>
        <v>12</v>
      </c>
      <c r="E140" s="2"/>
      <c r="F140" s="2" t="str">
        <f>IF(F12&lt;&gt;"",F12,"")</f>
        <v>Новый объект</v>
      </c>
      <c r="G140" s="2" t="str">
        <f>IF(G12&lt;&gt;"",G12,"")</f>
        <v>Техническая эксплуатация наружного освещения на территории ИЦ "Сколково"</v>
      </c>
      <c r="H140" s="2">
        <v>0</v>
      </c>
      <c r="I140" s="2"/>
      <c r="J140" s="2"/>
      <c r="K140" s="2"/>
      <c r="L140" s="2"/>
      <c r="M140" s="2"/>
      <c r="N140" s="2"/>
      <c r="O140" s="2">
        <f t="shared" ref="O140:T140" si="105">ROUND(O111,2)</f>
        <v>6978360.5800000001</v>
      </c>
      <c r="P140" s="2">
        <f t="shared" si="105"/>
        <v>4491.71</v>
      </c>
      <c r="Q140" s="2">
        <f t="shared" si="105"/>
        <v>5369880.6699999999</v>
      </c>
      <c r="R140" s="2">
        <f t="shared" si="105"/>
        <v>2264140.63</v>
      </c>
      <c r="S140" s="2">
        <f t="shared" si="105"/>
        <v>1603988.2</v>
      </c>
      <c r="T140" s="2">
        <f t="shared" si="105"/>
        <v>0</v>
      </c>
      <c r="U140" s="2">
        <f>U111</f>
        <v>6428.8618559999995</v>
      </c>
      <c r="V140" s="2">
        <f>V111</f>
        <v>0</v>
      </c>
      <c r="W140" s="2">
        <f>ROUND(W111,2)</f>
        <v>0</v>
      </c>
      <c r="X140" s="2">
        <f>ROUND(X111,2)</f>
        <v>1122791.72</v>
      </c>
      <c r="Y140" s="2">
        <f>ROUND(Y111,2)</f>
        <v>160398.81</v>
      </c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>
        <f t="shared" ref="AO140:BC140" si="106">ROUND(AO111,2)</f>
        <v>0</v>
      </c>
      <c r="AP140" s="2">
        <f t="shared" si="106"/>
        <v>0</v>
      </c>
      <c r="AQ140" s="2">
        <f t="shared" si="106"/>
        <v>0</v>
      </c>
      <c r="AR140" s="2">
        <f t="shared" si="106"/>
        <v>10706822.98</v>
      </c>
      <c r="AS140" s="2">
        <f t="shared" si="106"/>
        <v>0</v>
      </c>
      <c r="AT140" s="2">
        <f t="shared" si="106"/>
        <v>0</v>
      </c>
      <c r="AU140" s="2">
        <f t="shared" si="106"/>
        <v>10706822.98</v>
      </c>
      <c r="AV140" s="2">
        <f t="shared" si="106"/>
        <v>4491.71</v>
      </c>
      <c r="AW140" s="2">
        <f t="shared" si="106"/>
        <v>4491.71</v>
      </c>
      <c r="AX140" s="2">
        <f t="shared" si="106"/>
        <v>0</v>
      </c>
      <c r="AY140" s="2">
        <f t="shared" si="106"/>
        <v>4491.71</v>
      </c>
      <c r="AZ140" s="2">
        <f t="shared" si="106"/>
        <v>0</v>
      </c>
      <c r="BA140" s="2">
        <f t="shared" si="106"/>
        <v>0</v>
      </c>
      <c r="BB140" s="2">
        <f t="shared" si="106"/>
        <v>0</v>
      </c>
      <c r="BC140" s="2">
        <f t="shared" si="106"/>
        <v>0</v>
      </c>
      <c r="BD140" s="2"/>
      <c r="BE140" s="2"/>
      <c r="BF140" s="2"/>
      <c r="BG140" s="2"/>
      <c r="BH140" s="2"/>
      <c r="BI140" s="2"/>
      <c r="BJ140" s="2"/>
      <c r="BK140" s="2"/>
      <c r="BL140" s="2"/>
      <c r="BM140" s="2"/>
      <c r="BN140" s="2"/>
      <c r="BO140" s="2"/>
      <c r="BP140" s="2"/>
      <c r="BQ140" s="2"/>
      <c r="BR140" s="2"/>
      <c r="BS140" s="2"/>
      <c r="BT140" s="2"/>
      <c r="BU140" s="2"/>
      <c r="BV140" s="2"/>
      <c r="BW140" s="2"/>
      <c r="BX140" s="2"/>
      <c r="BY140" s="2"/>
      <c r="BZ140" s="2"/>
      <c r="CA140" s="2"/>
      <c r="CB140" s="2"/>
      <c r="CC140" s="2"/>
      <c r="CD140" s="2"/>
      <c r="CE140" s="2"/>
      <c r="CF140" s="2"/>
      <c r="CG140" s="2"/>
      <c r="CH140" s="2"/>
      <c r="CI140" s="2"/>
      <c r="CJ140" s="2"/>
      <c r="CK140" s="2"/>
      <c r="CL140" s="2"/>
      <c r="CM140" s="2"/>
      <c r="CN140" s="2"/>
      <c r="CO140" s="2"/>
      <c r="CP140" s="2"/>
      <c r="CQ140" s="2"/>
      <c r="CR140" s="2"/>
      <c r="CS140" s="2"/>
      <c r="CT140" s="2"/>
      <c r="CU140" s="2"/>
      <c r="CV140" s="2"/>
      <c r="CW140" s="2"/>
      <c r="CX140" s="2"/>
      <c r="CY140" s="2"/>
      <c r="CZ140" s="2"/>
      <c r="DA140" s="2"/>
      <c r="DB140" s="2"/>
      <c r="DC140" s="2"/>
      <c r="DD140" s="2"/>
      <c r="DE140" s="2"/>
      <c r="DF140" s="2"/>
      <c r="DG140" s="3"/>
      <c r="DH140" s="3"/>
      <c r="DI140" s="3"/>
      <c r="DJ140" s="3"/>
      <c r="DK140" s="3"/>
      <c r="DL140" s="3"/>
      <c r="DM140" s="3"/>
      <c r="DN140" s="3"/>
      <c r="DO140" s="3"/>
      <c r="DP140" s="3"/>
      <c r="DQ140" s="3"/>
      <c r="DR140" s="3"/>
      <c r="DS140" s="3"/>
      <c r="DT140" s="3"/>
      <c r="DU140" s="3"/>
      <c r="DV140" s="3"/>
      <c r="DW140" s="3"/>
      <c r="DX140" s="3"/>
      <c r="DY140" s="3"/>
      <c r="DZ140" s="3"/>
      <c r="EA140" s="3"/>
      <c r="EB140" s="3"/>
      <c r="EC140" s="3"/>
      <c r="ED140" s="3"/>
      <c r="EE140" s="3"/>
      <c r="EF140" s="3"/>
      <c r="EG140" s="3"/>
      <c r="EH140" s="3"/>
      <c r="EI140" s="3"/>
      <c r="EJ140" s="3"/>
      <c r="EK140" s="3"/>
      <c r="EL140" s="3"/>
      <c r="EM140" s="3"/>
      <c r="EN140" s="3"/>
      <c r="EO140" s="3"/>
      <c r="EP140" s="3"/>
      <c r="EQ140" s="3"/>
      <c r="ER140" s="3"/>
      <c r="ES140" s="3"/>
      <c r="ET140" s="3"/>
      <c r="EU140" s="3"/>
      <c r="EV140" s="3"/>
      <c r="EW140" s="3"/>
      <c r="EX140" s="3"/>
      <c r="EY140" s="3"/>
      <c r="EZ140" s="3"/>
      <c r="FA140" s="3"/>
      <c r="FB140" s="3"/>
      <c r="FC140" s="3"/>
      <c r="FD140" s="3"/>
      <c r="FE140" s="3"/>
      <c r="FF140" s="3"/>
      <c r="FG140" s="3"/>
      <c r="FH140" s="3"/>
      <c r="FI140" s="3"/>
      <c r="FJ140" s="3"/>
      <c r="FK140" s="3"/>
      <c r="FL140" s="3"/>
      <c r="FM140" s="3"/>
      <c r="FN140" s="3"/>
      <c r="FO140" s="3"/>
      <c r="FP140" s="3"/>
      <c r="FQ140" s="3"/>
      <c r="FR140" s="3"/>
      <c r="FS140" s="3"/>
      <c r="FT140" s="3"/>
      <c r="FU140" s="3"/>
      <c r="FV140" s="3"/>
      <c r="FW140" s="3"/>
      <c r="FX140" s="3"/>
      <c r="FY140" s="3"/>
      <c r="FZ140" s="3"/>
      <c r="GA140" s="3"/>
      <c r="GB140" s="3"/>
      <c r="GC140" s="3"/>
      <c r="GD140" s="3"/>
      <c r="GE140" s="3"/>
      <c r="GF140" s="3"/>
      <c r="GG140" s="3"/>
      <c r="GH140" s="3"/>
      <c r="GI140" s="3"/>
      <c r="GJ140" s="3"/>
      <c r="GK140" s="3"/>
      <c r="GL140" s="3"/>
      <c r="GM140" s="3"/>
      <c r="GN140" s="3"/>
      <c r="GO140" s="3"/>
      <c r="GP140" s="3"/>
      <c r="GQ140" s="3"/>
      <c r="GR140" s="3"/>
      <c r="GS140" s="3"/>
      <c r="GT140" s="3"/>
      <c r="GU140" s="3"/>
      <c r="GV140" s="3"/>
      <c r="GW140" s="3"/>
      <c r="GX140" s="3">
        <v>0</v>
      </c>
    </row>
    <row r="142" spans="1:206" x14ac:dyDescent="0.2">
      <c r="A142" s="4">
        <v>50</v>
      </c>
      <c r="B142" s="4">
        <v>0</v>
      </c>
      <c r="C142" s="4">
        <v>0</v>
      </c>
      <c r="D142" s="4">
        <v>1</v>
      </c>
      <c r="E142" s="4">
        <v>201</v>
      </c>
      <c r="F142" s="4">
        <f>ROUND(Source!O140,O142)</f>
        <v>6978360.5800000001</v>
      </c>
      <c r="G142" s="4" t="s">
        <v>45</v>
      </c>
      <c r="H142" s="4" t="s">
        <v>46</v>
      </c>
      <c r="I142" s="4"/>
      <c r="J142" s="4"/>
      <c r="K142" s="4">
        <v>201</v>
      </c>
      <c r="L142" s="4">
        <v>1</v>
      </c>
      <c r="M142" s="4">
        <v>3</v>
      </c>
      <c r="N142" s="4" t="s">
        <v>3</v>
      </c>
      <c r="O142" s="4">
        <v>2</v>
      </c>
      <c r="P142" s="4"/>
      <c r="Q142" s="4"/>
      <c r="R142" s="4"/>
      <c r="S142" s="4"/>
      <c r="T142" s="4"/>
      <c r="U142" s="4"/>
      <c r="V142" s="4"/>
      <c r="W142" s="4"/>
    </row>
    <row r="143" spans="1:206" x14ac:dyDescent="0.2">
      <c r="A143" s="4">
        <v>50</v>
      </c>
      <c r="B143" s="4">
        <v>0</v>
      </c>
      <c r="C143" s="4">
        <v>0</v>
      </c>
      <c r="D143" s="4">
        <v>1</v>
      </c>
      <c r="E143" s="4">
        <v>202</v>
      </c>
      <c r="F143" s="4">
        <f>ROUND(Source!P140,O143)</f>
        <v>4491.71</v>
      </c>
      <c r="G143" s="4" t="s">
        <v>47</v>
      </c>
      <c r="H143" s="4" t="s">
        <v>48</v>
      </c>
      <c r="I143" s="4"/>
      <c r="J143" s="4"/>
      <c r="K143" s="4">
        <v>202</v>
      </c>
      <c r="L143" s="4">
        <v>2</v>
      </c>
      <c r="M143" s="4">
        <v>3</v>
      </c>
      <c r="N143" s="4" t="s">
        <v>3</v>
      </c>
      <c r="O143" s="4">
        <v>2</v>
      </c>
      <c r="P143" s="4"/>
      <c r="Q143" s="4"/>
      <c r="R143" s="4"/>
      <c r="S143" s="4"/>
      <c r="T143" s="4"/>
      <c r="U143" s="4"/>
      <c r="V143" s="4"/>
      <c r="W143" s="4"/>
    </row>
    <row r="144" spans="1:206" x14ac:dyDescent="0.2">
      <c r="A144" s="4">
        <v>50</v>
      </c>
      <c r="B144" s="4">
        <v>0</v>
      </c>
      <c r="C144" s="4">
        <v>0</v>
      </c>
      <c r="D144" s="4">
        <v>1</v>
      </c>
      <c r="E144" s="4">
        <v>222</v>
      </c>
      <c r="F144" s="4">
        <f>ROUND(Source!AO140,O144)</f>
        <v>0</v>
      </c>
      <c r="G144" s="4" t="s">
        <v>49</v>
      </c>
      <c r="H144" s="4" t="s">
        <v>50</v>
      </c>
      <c r="I144" s="4"/>
      <c r="J144" s="4"/>
      <c r="K144" s="4">
        <v>222</v>
      </c>
      <c r="L144" s="4">
        <v>3</v>
      </c>
      <c r="M144" s="4">
        <v>3</v>
      </c>
      <c r="N144" s="4" t="s">
        <v>3</v>
      </c>
      <c r="O144" s="4">
        <v>2</v>
      </c>
      <c r="P144" s="4"/>
      <c r="Q144" s="4"/>
      <c r="R144" s="4"/>
      <c r="S144" s="4"/>
      <c r="T144" s="4"/>
      <c r="U144" s="4"/>
      <c r="V144" s="4"/>
      <c r="W144" s="4"/>
    </row>
    <row r="145" spans="1:23" x14ac:dyDescent="0.2">
      <c r="A145" s="4">
        <v>50</v>
      </c>
      <c r="B145" s="4">
        <v>0</v>
      </c>
      <c r="C145" s="4">
        <v>0</v>
      </c>
      <c r="D145" s="4">
        <v>1</v>
      </c>
      <c r="E145" s="4">
        <v>225</v>
      </c>
      <c r="F145" s="4">
        <f>ROUND(Source!AV140,O145)</f>
        <v>4491.71</v>
      </c>
      <c r="G145" s="4" t="s">
        <v>51</v>
      </c>
      <c r="H145" s="4" t="s">
        <v>52</v>
      </c>
      <c r="I145" s="4"/>
      <c r="J145" s="4"/>
      <c r="K145" s="4">
        <v>225</v>
      </c>
      <c r="L145" s="4">
        <v>4</v>
      </c>
      <c r="M145" s="4">
        <v>3</v>
      </c>
      <c r="N145" s="4" t="s">
        <v>3</v>
      </c>
      <c r="O145" s="4">
        <v>2</v>
      </c>
      <c r="P145" s="4"/>
      <c r="Q145" s="4"/>
      <c r="R145" s="4"/>
      <c r="S145" s="4"/>
      <c r="T145" s="4"/>
      <c r="U145" s="4"/>
      <c r="V145" s="4"/>
      <c r="W145" s="4"/>
    </row>
    <row r="146" spans="1:23" x14ac:dyDescent="0.2">
      <c r="A146" s="4">
        <v>50</v>
      </c>
      <c r="B146" s="4">
        <v>0</v>
      </c>
      <c r="C146" s="4">
        <v>0</v>
      </c>
      <c r="D146" s="4">
        <v>1</v>
      </c>
      <c r="E146" s="4">
        <v>226</v>
      </c>
      <c r="F146" s="4">
        <f>ROUND(Source!AW140,O146)</f>
        <v>4491.71</v>
      </c>
      <c r="G146" s="4" t="s">
        <v>53</v>
      </c>
      <c r="H146" s="4" t="s">
        <v>54</v>
      </c>
      <c r="I146" s="4"/>
      <c r="J146" s="4"/>
      <c r="K146" s="4">
        <v>226</v>
      </c>
      <c r="L146" s="4">
        <v>5</v>
      </c>
      <c r="M146" s="4">
        <v>3</v>
      </c>
      <c r="N146" s="4" t="s">
        <v>3</v>
      </c>
      <c r="O146" s="4">
        <v>2</v>
      </c>
      <c r="P146" s="4"/>
      <c r="Q146" s="4"/>
      <c r="R146" s="4"/>
      <c r="S146" s="4"/>
      <c r="T146" s="4"/>
      <c r="U146" s="4"/>
      <c r="V146" s="4"/>
      <c r="W146" s="4"/>
    </row>
    <row r="147" spans="1:23" x14ac:dyDescent="0.2">
      <c r="A147" s="4">
        <v>50</v>
      </c>
      <c r="B147" s="4">
        <v>0</v>
      </c>
      <c r="C147" s="4">
        <v>0</v>
      </c>
      <c r="D147" s="4">
        <v>1</v>
      </c>
      <c r="E147" s="4">
        <v>227</v>
      </c>
      <c r="F147" s="4">
        <f>ROUND(Source!AX140,O147)</f>
        <v>0</v>
      </c>
      <c r="G147" s="4" t="s">
        <v>55</v>
      </c>
      <c r="H147" s="4" t="s">
        <v>56</v>
      </c>
      <c r="I147" s="4"/>
      <c r="J147" s="4"/>
      <c r="K147" s="4">
        <v>227</v>
      </c>
      <c r="L147" s="4">
        <v>6</v>
      </c>
      <c r="M147" s="4">
        <v>3</v>
      </c>
      <c r="N147" s="4" t="s">
        <v>3</v>
      </c>
      <c r="O147" s="4">
        <v>2</v>
      </c>
      <c r="P147" s="4"/>
      <c r="Q147" s="4"/>
      <c r="R147" s="4"/>
      <c r="S147" s="4"/>
      <c r="T147" s="4"/>
      <c r="U147" s="4"/>
      <c r="V147" s="4"/>
      <c r="W147" s="4"/>
    </row>
    <row r="148" spans="1:23" x14ac:dyDescent="0.2">
      <c r="A148" s="4">
        <v>50</v>
      </c>
      <c r="B148" s="4">
        <v>0</v>
      </c>
      <c r="C148" s="4">
        <v>0</v>
      </c>
      <c r="D148" s="4">
        <v>1</v>
      </c>
      <c r="E148" s="4">
        <v>228</v>
      </c>
      <c r="F148" s="4">
        <f>ROUND(Source!AY140,O148)</f>
        <v>4491.71</v>
      </c>
      <c r="G148" s="4" t="s">
        <v>57</v>
      </c>
      <c r="H148" s="4" t="s">
        <v>58</v>
      </c>
      <c r="I148" s="4"/>
      <c r="J148" s="4"/>
      <c r="K148" s="4">
        <v>228</v>
      </c>
      <c r="L148" s="4">
        <v>7</v>
      </c>
      <c r="M148" s="4">
        <v>3</v>
      </c>
      <c r="N148" s="4" t="s">
        <v>3</v>
      </c>
      <c r="O148" s="4">
        <v>2</v>
      </c>
      <c r="P148" s="4"/>
      <c r="Q148" s="4"/>
      <c r="R148" s="4"/>
      <c r="S148" s="4"/>
      <c r="T148" s="4"/>
      <c r="U148" s="4"/>
      <c r="V148" s="4"/>
      <c r="W148" s="4"/>
    </row>
    <row r="149" spans="1:23" x14ac:dyDescent="0.2">
      <c r="A149" s="4">
        <v>50</v>
      </c>
      <c r="B149" s="4">
        <v>0</v>
      </c>
      <c r="C149" s="4">
        <v>0</v>
      </c>
      <c r="D149" s="4">
        <v>1</v>
      </c>
      <c r="E149" s="4">
        <v>216</v>
      </c>
      <c r="F149" s="4">
        <f>ROUND(Source!AP140,O149)</f>
        <v>0</v>
      </c>
      <c r="G149" s="4" t="s">
        <v>59</v>
      </c>
      <c r="H149" s="4" t="s">
        <v>60</v>
      </c>
      <c r="I149" s="4"/>
      <c r="J149" s="4"/>
      <c r="K149" s="4">
        <v>216</v>
      </c>
      <c r="L149" s="4">
        <v>8</v>
      </c>
      <c r="M149" s="4">
        <v>3</v>
      </c>
      <c r="N149" s="4" t="s">
        <v>3</v>
      </c>
      <c r="O149" s="4">
        <v>2</v>
      </c>
      <c r="P149" s="4"/>
      <c r="Q149" s="4"/>
      <c r="R149" s="4"/>
      <c r="S149" s="4"/>
      <c r="T149" s="4"/>
      <c r="U149" s="4"/>
      <c r="V149" s="4"/>
      <c r="W149" s="4"/>
    </row>
    <row r="150" spans="1:23" x14ac:dyDescent="0.2">
      <c r="A150" s="4">
        <v>50</v>
      </c>
      <c r="B150" s="4">
        <v>0</v>
      </c>
      <c r="C150" s="4">
        <v>0</v>
      </c>
      <c r="D150" s="4">
        <v>1</v>
      </c>
      <c r="E150" s="4">
        <v>223</v>
      </c>
      <c r="F150" s="4">
        <f>ROUND(Source!AQ140,O150)</f>
        <v>0</v>
      </c>
      <c r="G150" s="4" t="s">
        <v>61</v>
      </c>
      <c r="H150" s="4" t="s">
        <v>62</v>
      </c>
      <c r="I150" s="4"/>
      <c r="J150" s="4"/>
      <c r="K150" s="4">
        <v>223</v>
      </c>
      <c r="L150" s="4">
        <v>9</v>
      </c>
      <c r="M150" s="4">
        <v>3</v>
      </c>
      <c r="N150" s="4" t="s">
        <v>3</v>
      </c>
      <c r="O150" s="4">
        <v>2</v>
      </c>
      <c r="P150" s="4"/>
      <c r="Q150" s="4"/>
      <c r="R150" s="4"/>
      <c r="S150" s="4"/>
      <c r="T150" s="4"/>
      <c r="U150" s="4"/>
      <c r="V150" s="4"/>
      <c r="W150" s="4"/>
    </row>
    <row r="151" spans="1:23" x14ac:dyDescent="0.2">
      <c r="A151" s="4">
        <v>50</v>
      </c>
      <c r="B151" s="4">
        <v>0</v>
      </c>
      <c r="C151" s="4">
        <v>0</v>
      </c>
      <c r="D151" s="4">
        <v>1</v>
      </c>
      <c r="E151" s="4">
        <v>229</v>
      </c>
      <c r="F151" s="4">
        <f>ROUND(Source!AZ140,O151)</f>
        <v>0</v>
      </c>
      <c r="G151" s="4" t="s">
        <v>63</v>
      </c>
      <c r="H151" s="4" t="s">
        <v>64</v>
      </c>
      <c r="I151" s="4"/>
      <c r="J151" s="4"/>
      <c r="K151" s="4">
        <v>229</v>
      </c>
      <c r="L151" s="4">
        <v>10</v>
      </c>
      <c r="M151" s="4">
        <v>3</v>
      </c>
      <c r="N151" s="4" t="s">
        <v>3</v>
      </c>
      <c r="O151" s="4">
        <v>2</v>
      </c>
      <c r="P151" s="4"/>
      <c r="Q151" s="4"/>
      <c r="R151" s="4"/>
      <c r="S151" s="4"/>
      <c r="T151" s="4"/>
      <c r="U151" s="4"/>
      <c r="V151" s="4"/>
      <c r="W151" s="4"/>
    </row>
    <row r="152" spans="1:23" x14ac:dyDescent="0.2">
      <c r="A152" s="4">
        <v>50</v>
      </c>
      <c r="B152" s="4">
        <v>0</v>
      </c>
      <c r="C152" s="4">
        <v>0</v>
      </c>
      <c r="D152" s="4">
        <v>1</v>
      </c>
      <c r="E152" s="4">
        <v>203</v>
      </c>
      <c r="F152" s="4">
        <f>ROUND(Source!Q140,O152)</f>
        <v>5369880.6699999999</v>
      </c>
      <c r="G152" s="4" t="s">
        <v>65</v>
      </c>
      <c r="H152" s="4" t="s">
        <v>66</v>
      </c>
      <c r="I152" s="4"/>
      <c r="J152" s="4"/>
      <c r="K152" s="4">
        <v>203</v>
      </c>
      <c r="L152" s="4">
        <v>11</v>
      </c>
      <c r="M152" s="4">
        <v>3</v>
      </c>
      <c r="N152" s="4" t="s">
        <v>3</v>
      </c>
      <c r="O152" s="4">
        <v>2</v>
      </c>
      <c r="P152" s="4"/>
      <c r="Q152" s="4"/>
      <c r="R152" s="4"/>
      <c r="S152" s="4"/>
      <c r="T152" s="4"/>
      <c r="U152" s="4"/>
      <c r="V152" s="4"/>
      <c r="W152" s="4"/>
    </row>
    <row r="153" spans="1:23" x14ac:dyDescent="0.2">
      <c r="A153" s="4">
        <v>50</v>
      </c>
      <c r="B153" s="4">
        <v>0</v>
      </c>
      <c r="C153" s="4">
        <v>0</v>
      </c>
      <c r="D153" s="4">
        <v>1</v>
      </c>
      <c r="E153" s="4">
        <v>231</v>
      </c>
      <c r="F153" s="4">
        <f>ROUND(Source!BB140,O153)</f>
        <v>0</v>
      </c>
      <c r="G153" s="4" t="s">
        <v>67</v>
      </c>
      <c r="H153" s="4" t="s">
        <v>68</v>
      </c>
      <c r="I153" s="4"/>
      <c r="J153" s="4"/>
      <c r="K153" s="4">
        <v>231</v>
      </c>
      <c r="L153" s="4">
        <v>12</v>
      </c>
      <c r="M153" s="4">
        <v>3</v>
      </c>
      <c r="N153" s="4" t="s">
        <v>3</v>
      </c>
      <c r="O153" s="4">
        <v>2</v>
      </c>
      <c r="P153" s="4"/>
      <c r="Q153" s="4"/>
      <c r="R153" s="4"/>
      <c r="S153" s="4"/>
      <c r="T153" s="4"/>
      <c r="U153" s="4"/>
      <c r="V153" s="4"/>
      <c r="W153" s="4"/>
    </row>
    <row r="154" spans="1:23" x14ac:dyDescent="0.2">
      <c r="A154" s="4">
        <v>50</v>
      </c>
      <c r="B154" s="4">
        <v>0</v>
      </c>
      <c r="C154" s="4">
        <v>0</v>
      </c>
      <c r="D154" s="4">
        <v>1</v>
      </c>
      <c r="E154" s="4">
        <v>204</v>
      </c>
      <c r="F154" s="4">
        <f>ROUND(Source!R140,O154)</f>
        <v>2264140.63</v>
      </c>
      <c r="G154" s="4" t="s">
        <v>69</v>
      </c>
      <c r="H154" s="4" t="s">
        <v>70</v>
      </c>
      <c r="I154" s="4"/>
      <c r="J154" s="4"/>
      <c r="K154" s="4">
        <v>204</v>
      </c>
      <c r="L154" s="4">
        <v>13</v>
      </c>
      <c r="M154" s="4">
        <v>3</v>
      </c>
      <c r="N154" s="4" t="s">
        <v>3</v>
      </c>
      <c r="O154" s="4">
        <v>2</v>
      </c>
      <c r="P154" s="4"/>
      <c r="Q154" s="4"/>
      <c r="R154" s="4"/>
      <c r="S154" s="4"/>
      <c r="T154" s="4"/>
      <c r="U154" s="4"/>
      <c r="V154" s="4"/>
      <c r="W154" s="4"/>
    </row>
    <row r="155" spans="1:23" x14ac:dyDescent="0.2">
      <c r="A155" s="4">
        <v>50</v>
      </c>
      <c r="B155" s="4">
        <v>0</v>
      </c>
      <c r="C155" s="4">
        <v>0</v>
      </c>
      <c r="D155" s="4">
        <v>1</v>
      </c>
      <c r="E155" s="4">
        <v>205</v>
      </c>
      <c r="F155" s="4">
        <f>ROUND(Source!S140,O155)</f>
        <v>1603988.2</v>
      </c>
      <c r="G155" s="4" t="s">
        <v>71</v>
      </c>
      <c r="H155" s="4" t="s">
        <v>72</v>
      </c>
      <c r="I155" s="4"/>
      <c r="J155" s="4"/>
      <c r="K155" s="4">
        <v>205</v>
      </c>
      <c r="L155" s="4">
        <v>14</v>
      </c>
      <c r="M155" s="4">
        <v>3</v>
      </c>
      <c r="N155" s="4" t="s">
        <v>3</v>
      </c>
      <c r="O155" s="4">
        <v>2</v>
      </c>
      <c r="P155" s="4"/>
      <c r="Q155" s="4"/>
      <c r="R155" s="4"/>
      <c r="S155" s="4"/>
      <c r="T155" s="4"/>
      <c r="U155" s="4"/>
      <c r="V155" s="4"/>
      <c r="W155" s="4"/>
    </row>
    <row r="156" spans="1:23" x14ac:dyDescent="0.2">
      <c r="A156" s="4">
        <v>50</v>
      </c>
      <c r="B156" s="4">
        <v>0</v>
      </c>
      <c r="C156" s="4">
        <v>0</v>
      </c>
      <c r="D156" s="4">
        <v>1</v>
      </c>
      <c r="E156" s="4">
        <v>232</v>
      </c>
      <c r="F156" s="4">
        <f>ROUND(Source!BC140,O156)</f>
        <v>0</v>
      </c>
      <c r="G156" s="4" t="s">
        <v>73</v>
      </c>
      <c r="H156" s="4" t="s">
        <v>74</v>
      </c>
      <c r="I156" s="4"/>
      <c r="J156" s="4"/>
      <c r="K156" s="4">
        <v>232</v>
      </c>
      <c r="L156" s="4">
        <v>15</v>
      </c>
      <c r="M156" s="4">
        <v>3</v>
      </c>
      <c r="N156" s="4" t="s">
        <v>3</v>
      </c>
      <c r="O156" s="4">
        <v>2</v>
      </c>
      <c r="P156" s="4"/>
      <c r="Q156" s="4"/>
      <c r="R156" s="4"/>
      <c r="S156" s="4"/>
      <c r="T156" s="4"/>
      <c r="U156" s="4"/>
      <c r="V156" s="4"/>
      <c r="W156" s="4"/>
    </row>
    <row r="157" spans="1:23" x14ac:dyDescent="0.2">
      <c r="A157" s="4">
        <v>50</v>
      </c>
      <c r="B157" s="4">
        <v>0</v>
      </c>
      <c r="C157" s="4">
        <v>0</v>
      </c>
      <c r="D157" s="4">
        <v>1</v>
      </c>
      <c r="E157" s="4">
        <v>214</v>
      </c>
      <c r="F157" s="4">
        <f>ROUND(Source!AS140,O157)</f>
        <v>0</v>
      </c>
      <c r="G157" s="4" t="s">
        <v>75</v>
      </c>
      <c r="H157" s="4" t="s">
        <v>76</v>
      </c>
      <c r="I157" s="4"/>
      <c r="J157" s="4"/>
      <c r="K157" s="4">
        <v>214</v>
      </c>
      <c r="L157" s="4">
        <v>16</v>
      </c>
      <c r="M157" s="4">
        <v>3</v>
      </c>
      <c r="N157" s="4" t="s">
        <v>3</v>
      </c>
      <c r="O157" s="4">
        <v>2</v>
      </c>
      <c r="P157" s="4"/>
      <c r="Q157" s="4"/>
      <c r="R157" s="4"/>
      <c r="S157" s="4"/>
      <c r="T157" s="4"/>
      <c r="U157" s="4"/>
      <c r="V157" s="4"/>
      <c r="W157" s="4"/>
    </row>
    <row r="158" spans="1:23" x14ac:dyDescent="0.2">
      <c r="A158" s="4">
        <v>50</v>
      </c>
      <c r="B158" s="4">
        <v>0</v>
      </c>
      <c r="C158" s="4">
        <v>0</v>
      </c>
      <c r="D158" s="4">
        <v>1</v>
      </c>
      <c r="E158" s="4">
        <v>215</v>
      </c>
      <c r="F158" s="4">
        <f>ROUND(Source!AT140,O158)</f>
        <v>0</v>
      </c>
      <c r="G158" s="4" t="s">
        <v>77</v>
      </c>
      <c r="H158" s="4" t="s">
        <v>78</v>
      </c>
      <c r="I158" s="4"/>
      <c r="J158" s="4"/>
      <c r="K158" s="4">
        <v>215</v>
      </c>
      <c r="L158" s="4">
        <v>17</v>
      </c>
      <c r="M158" s="4">
        <v>3</v>
      </c>
      <c r="N158" s="4" t="s">
        <v>3</v>
      </c>
      <c r="O158" s="4">
        <v>2</v>
      </c>
      <c r="P158" s="4"/>
      <c r="Q158" s="4"/>
      <c r="R158" s="4"/>
      <c r="S158" s="4"/>
      <c r="T158" s="4"/>
      <c r="U158" s="4"/>
      <c r="V158" s="4"/>
      <c r="W158" s="4"/>
    </row>
    <row r="159" spans="1:23" x14ac:dyDescent="0.2">
      <c r="A159" s="4">
        <v>50</v>
      </c>
      <c r="B159" s="4">
        <v>0</v>
      </c>
      <c r="C159" s="4">
        <v>0</v>
      </c>
      <c r="D159" s="4">
        <v>1</v>
      </c>
      <c r="E159" s="4">
        <v>217</v>
      </c>
      <c r="F159" s="4">
        <f>ROUND(Source!AU140,O159)</f>
        <v>10706822.98</v>
      </c>
      <c r="G159" s="4" t="s">
        <v>79</v>
      </c>
      <c r="H159" s="4" t="s">
        <v>80</v>
      </c>
      <c r="I159" s="4"/>
      <c r="J159" s="4"/>
      <c r="K159" s="4">
        <v>217</v>
      </c>
      <c r="L159" s="4">
        <v>18</v>
      </c>
      <c r="M159" s="4">
        <v>3</v>
      </c>
      <c r="N159" s="4" t="s">
        <v>3</v>
      </c>
      <c r="O159" s="4">
        <v>2</v>
      </c>
      <c r="P159" s="4"/>
      <c r="Q159" s="4"/>
      <c r="R159" s="4"/>
      <c r="S159" s="4"/>
      <c r="T159" s="4"/>
      <c r="U159" s="4"/>
      <c r="V159" s="4"/>
      <c r="W159" s="4"/>
    </row>
    <row r="160" spans="1:23" x14ac:dyDescent="0.2">
      <c r="A160" s="4">
        <v>50</v>
      </c>
      <c r="B160" s="4">
        <v>0</v>
      </c>
      <c r="C160" s="4">
        <v>0</v>
      </c>
      <c r="D160" s="4">
        <v>1</v>
      </c>
      <c r="E160" s="4">
        <v>230</v>
      </c>
      <c r="F160" s="4">
        <f>ROUND(Source!BA140,O160)</f>
        <v>0</v>
      </c>
      <c r="G160" s="4" t="s">
        <v>81</v>
      </c>
      <c r="H160" s="4" t="s">
        <v>82</v>
      </c>
      <c r="I160" s="4"/>
      <c r="J160" s="4"/>
      <c r="K160" s="4">
        <v>230</v>
      </c>
      <c r="L160" s="4">
        <v>19</v>
      </c>
      <c r="M160" s="4">
        <v>3</v>
      </c>
      <c r="N160" s="4" t="s">
        <v>3</v>
      </c>
      <c r="O160" s="4">
        <v>2</v>
      </c>
      <c r="P160" s="4"/>
      <c r="Q160" s="4"/>
      <c r="R160" s="4"/>
      <c r="S160" s="4"/>
      <c r="T160" s="4"/>
      <c r="U160" s="4"/>
      <c r="V160" s="4"/>
      <c r="W160" s="4"/>
    </row>
    <row r="161" spans="1:23" x14ac:dyDescent="0.2">
      <c r="A161" s="4">
        <v>50</v>
      </c>
      <c r="B161" s="4">
        <v>0</v>
      </c>
      <c r="C161" s="4">
        <v>0</v>
      </c>
      <c r="D161" s="4">
        <v>1</v>
      </c>
      <c r="E161" s="4">
        <v>206</v>
      </c>
      <c r="F161" s="4">
        <f>ROUND(Source!T140,O161)</f>
        <v>0</v>
      </c>
      <c r="G161" s="4" t="s">
        <v>83</v>
      </c>
      <c r="H161" s="4" t="s">
        <v>84</v>
      </c>
      <c r="I161" s="4"/>
      <c r="J161" s="4"/>
      <c r="K161" s="4">
        <v>206</v>
      </c>
      <c r="L161" s="4">
        <v>20</v>
      </c>
      <c r="M161" s="4">
        <v>3</v>
      </c>
      <c r="N161" s="4" t="s">
        <v>3</v>
      </c>
      <c r="O161" s="4">
        <v>2</v>
      </c>
      <c r="P161" s="4"/>
      <c r="Q161" s="4"/>
      <c r="R161" s="4"/>
      <c r="S161" s="4"/>
      <c r="T161" s="4"/>
      <c r="U161" s="4"/>
      <c r="V161" s="4"/>
      <c r="W161" s="4"/>
    </row>
    <row r="162" spans="1:23" x14ac:dyDescent="0.2">
      <c r="A162" s="4">
        <v>50</v>
      </c>
      <c r="B162" s="4">
        <v>0</v>
      </c>
      <c r="C162" s="4">
        <v>0</v>
      </c>
      <c r="D162" s="4">
        <v>1</v>
      </c>
      <c r="E162" s="4">
        <v>207</v>
      </c>
      <c r="F162" s="4">
        <f>Source!U140</f>
        <v>6428.8618559999995</v>
      </c>
      <c r="G162" s="4" t="s">
        <v>85</v>
      </c>
      <c r="H162" s="4" t="s">
        <v>86</v>
      </c>
      <c r="I162" s="4"/>
      <c r="J162" s="4"/>
      <c r="K162" s="4">
        <v>207</v>
      </c>
      <c r="L162" s="4">
        <v>21</v>
      </c>
      <c r="M162" s="4">
        <v>3</v>
      </c>
      <c r="N162" s="4" t="s">
        <v>3</v>
      </c>
      <c r="O162" s="4">
        <v>-1</v>
      </c>
      <c r="P162" s="4"/>
      <c r="Q162" s="4"/>
      <c r="R162" s="4"/>
      <c r="S162" s="4"/>
      <c r="T162" s="4"/>
      <c r="U162" s="4"/>
      <c r="V162" s="4"/>
      <c r="W162" s="4"/>
    </row>
    <row r="163" spans="1:23" x14ac:dyDescent="0.2">
      <c r="A163" s="4">
        <v>50</v>
      </c>
      <c r="B163" s="4">
        <v>0</v>
      </c>
      <c r="C163" s="4">
        <v>0</v>
      </c>
      <c r="D163" s="4">
        <v>1</v>
      </c>
      <c r="E163" s="4">
        <v>208</v>
      </c>
      <c r="F163" s="4">
        <f>Source!V140</f>
        <v>0</v>
      </c>
      <c r="G163" s="4" t="s">
        <v>87</v>
      </c>
      <c r="H163" s="4" t="s">
        <v>88</v>
      </c>
      <c r="I163" s="4"/>
      <c r="J163" s="4"/>
      <c r="K163" s="4">
        <v>208</v>
      </c>
      <c r="L163" s="4">
        <v>22</v>
      </c>
      <c r="M163" s="4">
        <v>3</v>
      </c>
      <c r="N163" s="4" t="s">
        <v>3</v>
      </c>
      <c r="O163" s="4">
        <v>-1</v>
      </c>
      <c r="P163" s="4"/>
      <c r="Q163" s="4"/>
      <c r="R163" s="4"/>
      <c r="S163" s="4"/>
      <c r="T163" s="4"/>
      <c r="U163" s="4"/>
      <c r="V163" s="4"/>
      <c r="W163" s="4"/>
    </row>
    <row r="164" spans="1:23" x14ac:dyDescent="0.2">
      <c r="A164" s="4">
        <v>50</v>
      </c>
      <c r="B164" s="4">
        <v>0</v>
      </c>
      <c r="C164" s="4">
        <v>0</v>
      </c>
      <c r="D164" s="4">
        <v>1</v>
      </c>
      <c r="E164" s="4">
        <v>209</v>
      </c>
      <c r="F164" s="4">
        <f>ROUND(Source!W140,O164)</f>
        <v>0</v>
      </c>
      <c r="G164" s="4" t="s">
        <v>89</v>
      </c>
      <c r="H164" s="4" t="s">
        <v>90</v>
      </c>
      <c r="I164" s="4"/>
      <c r="J164" s="4"/>
      <c r="K164" s="4">
        <v>209</v>
      </c>
      <c r="L164" s="4">
        <v>23</v>
      </c>
      <c r="M164" s="4">
        <v>3</v>
      </c>
      <c r="N164" s="4" t="s">
        <v>3</v>
      </c>
      <c r="O164" s="4">
        <v>2</v>
      </c>
      <c r="P164" s="4"/>
      <c r="Q164" s="4"/>
      <c r="R164" s="4"/>
      <c r="S164" s="4"/>
      <c r="T164" s="4"/>
      <c r="U164" s="4"/>
      <c r="V164" s="4"/>
      <c r="W164" s="4"/>
    </row>
    <row r="165" spans="1:23" x14ac:dyDescent="0.2">
      <c r="A165" s="4">
        <v>50</v>
      </c>
      <c r="B165" s="4">
        <v>0</v>
      </c>
      <c r="C165" s="4">
        <v>0</v>
      </c>
      <c r="D165" s="4">
        <v>1</v>
      </c>
      <c r="E165" s="4">
        <v>210</v>
      </c>
      <c r="F165" s="4">
        <f>ROUND(Source!X140,O165)</f>
        <v>1122791.72</v>
      </c>
      <c r="G165" s="4" t="s">
        <v>91</v>
      </c>
      <c r="H165" s="4" t="s">
        <v>92</v>
      </c>
      <c r="I165" s="4"/>
      <c r="J165" s="4"/>
      <c r="K165" s="4">
        <v>210</v>
      </c>
      <c r="L165" s="4">
        <v>24</v>
      </c>
      <c r="M165" s="4">
        <v>3</v>
      </c>
      <c r="N165" s="4" t="s">
        <v>3</v>
      </c>
      <c r="O165" s="4">
        <v>2</v>
      </c>
      <c r="P165" s="4"/>
      <c r="Q165" s="4"/>
      <c r="R165" s="4"/>
      <c r="S165" s="4"/>
      <c r="T165" s="4"/>
      <c r="U165" s="4"/>
      <c r="V165" s="4"/>
      <c r="W165" s="4"/>
    </row>
    <row r="166" spans="1:23" x14ac:dyDescent="0.2">
      <c r="A166" s="4">
        <v>50</v>
      </c>
      <c r="B166" s="4">
        <v>0</v>
      </c>
      <c r="C166" s="4">
        <v>0</v>
      </c>
      <c r="D166" s="4">
        <v>1</v>
      </c>
      <c r="E166" s="4">
        <v>211</v>
      </c>
      <c r="F166" s="4">
        <f>ROUND(Source!Y140,O166)</f>
        <v>160398.81</v>
      </c>
      <c r="G166" s="4" t="s">
        <v>93</v>
      </c>
      <c r="H166" s="4" t="s">
        <v>94</v>
      </c>
      <c r="I166" s="4"/>
      <c r="J166" s="4"/>
      <c r="K166" s="4">
        <v>211</v>
      </c>
      <c r="L166" s="4">
        <v>25</v>
      </c>
      <c r="M166" s="4">
        <v>3</v>
      </c>
      <c r="N166" s="4" t="s">
        <v>3</v>
      </c>
      <c r="O166" s="4">
        <v>2</v>
      </c>
      <c r="P166" s="4"/>
      <c r="Q166" s="4"/>
      <c r="R166" s="4"/>
      <c r="S166" s="4"/>
      <c r="T166" s="4"/>
      <c r="U166" s="4"/>
      <c r="V166" s="4"/>
      <c r="W166" s="4"/>
    </row>
    <row r="167" spans="1:23" x14ac:dyDescent="0.2">
      <c r="A167" s="4">
        <v>50</v>
      </c>
      <c r="B167" s="4">
        <v>0</v>
      </c>
      <c r="C167" s="4">
        <v>0</v>
      </c>
      <c r="D167" s="4">
        <v>1</v>
      </c>
      <c r="E167" s="4">
        <v>224</v>
      </c>
      <c r="F167" s="4">
        <f>ROUND(Source!AR140,O167)</f>
        <v>10706822.98</v>
      </c>
      <c r="G167" s="4" t="s">
        <v>95</v>
      </c>
      <c r="H167" s="4" t="s">
        <v>96</v>
      </c>
      <c r="I167" s="4"/>
      <c r="J167" s="4"/>
      <c r="K167" s="4">
        <v>224</v>
      </c>
      <c r="L167" s="4">
        <v>26</v>
      </c>
      <c r="M167" s="4">
        <v>3</v>
      </c>
      <c r="N167" s="4" t="s">
        <v>3</v>
      </c>
      <c r="O167" s="4">
        <v>2</v>
      </c>
      <c r="P167" s="4"/>
      <c r="Q167" s="4"/>
      <c r="R167" s="4"/>
      <c r="S167" s="4"/>
      <c r="T167" s="4"/>
      <c r="U167" s="4"/>
      <c r="V167" s="4"/>
      <c r="W167" s="4"/>
    </row>
    <row r="170" spans="1:23" x14ac:dyDescent="0.2">
      <c r="A170">
        <v>-1</v>
      </c>
    </row>
    <row r="172" spans="1:23" x14ac:dyDescent="0.2">
      <c r="A172" s="3">
        <v>75</v>
      </c>
      <c r="B172" s="3" t="s">
        <v>150</v>
      </c>
      <c r="C172" s="3">
        <v>2018</v>
      </c>
      <c r="D172" s="3">
        <v>0</v>
      </c>
      <c r="E172" s="3">
        <v>1</v>
      </c>
      <c r="F172" s="3">
        <v>0</v>
      </c>
      <c r="G172" s="3">
        <v>0</v>
      </c>
      <c r="H172" s="3">
        <v>1</v>
      </c>
      <c r="I172" s="3">
        <v>0</v>
      </c>
      <c r="J172" s="3">
        <v>1</v>
      </c>
      <c r="K172" s="3">
        <v>78</v>
      </c>
      <c r="L172" s="3">
        <v>30</v>
      </c>
      <c r="M172" s="3">
        <v>0</v>
      </c>
      <c r="N172" s="3">
        <v>33299672</v>
      </c>
      <c r="O172" s="3">
        <v>1</v>
      </c>
    </row>
    <row r="176" spans="1:23" x14ac:dyDescent="0.2">
      <c r="A176">
        <v>65</v>
      </c>
      <c r="C176">
        <v>1</v>
      </c>
      <c r="D176">
        <v>0</v>
      </c>
      <c r="E176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C50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151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30805</v>
      </c>
      <c r="M1">
        <v>10</v>
      </c>
    </row>
    <row r="12" spans="1:133" x14ac:dyDescent="0.2">
      <c r="A12" s="1">
        <v>1</v>
      </c>
      <c r="B12" s="1">
        <v>50</v>
      </c>
      <c r="C12" s="1">
        <v>0</v>
      </c>
      <c r="D12" s="1"/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/>
      <c r="M12" s="1"/>
      <c r="N12" s="1"/>
      <c r="O12" s="1">
        <v>0</v>
      </c>
      <c r="P12" s="1">
        <v>0</v>
      </c>
      <c r="Q12" s="1">
        <v>0</v>
      </c>
      <c r="R12" s="1">
        <v>108</v>
      </c>
      <c r="S12" s="1"/>
      <c r="T12" s="1"/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/>
      <c r="BC12" s="1"/>
      <c r="BD12" s="1"/>
      <c r="BE12" s="1"/>
      <c r="BF12" s="1"/>
      <c r="BG12" s="1"/>
      <c r="BH12" s="1" t="s">
        <v>6</v>
      </c>
      <c r="BI12" s="1" t="s">
        <v>7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8</v>
      </c>
      <c r="BZ12" s="1" t="s">
        <v>9</v>
      </c>
      <c r="CA12" s="1" t="s">
        <v>10</v>
      </c>
      <c r="CB12" s="1" t="s">
        <v>10</v>
      </c>
      <c r="CC12" s="1" t="s">
        <v>10</v>
      </c>
      <c r="CD12" s="1" t="s">
        <v>10</v>
      </c>
      <c r="CE12" s="1" t="s">
        <v>3</v>
      </c>
      <c r="CF12" s="1">
        <v>0</v>
      </c>
      <c r="CG12" s="1">
        <v>0</v>
      </c>
      <c r="CH12" s="1">
        <v>8</v>
      </c>
      <c r="CI12" s="1" t="s">
        <v>3</v>
      </c>
      <c r="CJ12" s="1" t="s">
        <v>3</v>
      </c>
      <c r="CK12" s="1">
        <v>0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 x14ac:dyDescent="0.2">
      <c r="A14" s="1">
        <v>22</v>
      </c>
      <c r="B14" s="1">
        <v>0</v>
      </c>
      <c r="C14" s="1">
        <v>0</v>
      </c>
      <c r="D14" s="1">
        <v>33299672</v>
      </c>
      <c r="E14" s="1">
        <v>0</v>
      </c>
      <c r="F14" s="1">
        <v>3</v>
      </c>
      <c r="G14" s="1"/>
      <c r="H14" s="1"/>
      <c r="I14" s="1"/>
      <c r="J14" s="1"/>
      <c r="K14" s="1"/>
      <c r="L14" s="1"/>
      <c r="M14" s="1"/>
      <c r="N14" s="1"/>
      <c r="O14" s="1"/>
    </row>
    <row r="16" spans="1:133" x14ac:dyDescent="0.2">
      <c r="A16" s="5">
        <v>3</v>
      </c>
      <c r="B16" s="5">
        <v>1</v>
      </c>
      <c r="C16" s="5" t="s">
        <v>11</v>
      </c>
      <c r="D16" s="5" t="s">
        <v>11</v>
      </c>
      <c r="E16" s="6">
        <f>(Source!F128)/1000</f>
        <v>0</v>
      </c>
      <c r="F16" s="6">
        <f>(Source!F129)/1000</f>
        <v>0</v>
      </c>
      <c r="G16" s="6">
        <f>(Source!F120)/1000</f>
        <v>0</v>
      </c>
      <c r="H16" s="6">
        <f>(Source!F130)/1000+(Source!F131)/1000</f>
        <v>10706.822980000001</v>
      </c>
      <c r="I16" s="6">
        <f>E16+F16+G16+H16</f>
        <v>10706.822980000001</v>
      </c>
      <c r="J16" s="6">
        <f>(Source!F126)/1000</f>
        <v>1603.9882</v>
      </c>
      <c r="AI16" s="5">
        <v>0</v>
      </c>
      <c r="AJ16" s="5">
        <v>0</v>
      </c>
      <c r="AK16" s="5" t="s">
        <v>3</v>
      </c>
      <c r="AL16" s="5" t="s">
        <v>3</v>
      </c>
      <c r="AM16" s="5" t="s">
        <v>3</v>
      </c>
      <c r="AN16" s="5">
        <v>0</v>
      </c>
      <c r="AO16" s="5" t="s">
        <v>3</v>
      </c>
      <c r="AP16" s="5" t="s">
        <v>3</v>
      </c>
      <c r="AT16" s="6">
        <v>5085556.97</v>
      </c>
      <c r="AU16" s="6">
        <v>4413.5</v>
      </c>
      <c r="AV16" s="6">
        <v>0</v>
      </c>
      <c r="AW16" s="6">
        <v>0</v>
      </c>
      <c r="AX16" s="6">
        <v>0</v>
      </c>
      <c r="AY16" s="6">
        <v>3872035.75</v>
      </c>
      <c r="AZ16" s="6">
        <v>1628095.86</v>
      </c>
      <c r="BA16" s="6">
        <v>1209107.72</v>
      </c>
      <c r="BB16" s="6">
        <v>0</v>
      </c>
      <c r="BC16" s="6">
        <v>0</v>
      </c>
      <c r="BD16" s="6">
        <v>7811186.6799999997</v>
      </c>
      <c r="BE16" s="6">
        <v>0</v>
      </c>
      <c r="BF16" s="6">
        <v>4684.7738559999998</v>
      </c>
      <c r="BG16" s="6">
        <v>0</v>
      </c>
      <c r="BH16" s="6">
        <v>0</v>
      </c>
      <c r="BI16" s="6">
        <v>846375.4</v>
      </c>
      <c r="BJ16" s="6">
        <v>120910.78</v>
      </c>
      <c r="BK16" s="6">
        <v>7811186.6799999997</v>
      </c>
    </row>
    <row r="18" spans="1:19" x14ac:dyDescent="0.2">
      <c r="A18">
        <v>51</v>
      </c>
      <c r="E18" s="7">
        <f>SUMIF(A16:A17,3,E16:E17)</f>
        <v>0</v>
      </c>
      <c r="F18" s="7">
        <f>SUMIF(A16:A17,3,F16:F17)</f>
        <v>0</v>
      </c>
      <c r="G18" s="7">
        <f>SUMIF(A16:A17,3,G16:G17)</f>
        <v>0</v>
      </c>
      <c r="H18" s="7">
        <f>SUMIF(A16:A17,3,H16:H17)</f>
        <v>10706.822980000001</v>
      </c>
      <c r="I18" s="7">
        <f>SUMIF(A16:A17,3,I16:I17)</f>
        <v>10706.822980000001</v>
      </c>
      <c r="J18" s="7">
        <f>SUMIF(A16:A17,3,J16:J17)</f>
        <v>1603.9882</v>
      </c>
      <c r="K18" s="7"/>
      <c r="L18" s="7"/>
      <c r="M18" s="7"/>
      <c r="N18" s="7"/>
      <c r="O18" s="7"/>
      <c r="P18" s="7"/>
      <c r="Q18" s="7"/>
      <c r="R18" s="7"/>
      <c r="S18" s="7"/>
    </row>
    <row r="20" spans="1:19" x14ac:dyDescent="0.2">
      <c r="A20" s="4">
        <v>50</v>
      </c>
      <c r="B20" s="4">
        <v>0</v>
      </c>
      <c r="C20" s="4">
        <v>0</v>
      </c>
      <c r="D20" s="4">
        <v>1</v>
      </c>
      <c r="E20" s="4">
        <v>201</v>
      </c>
      <c r="F20" s="4">
        <v>5085556.97</v>
      </c>
      <c r="G20" s="4" t="s">
        <v>45</v>
      </c>
      <c r="H20" s="4" t="s">
        <v>46</v>
      </c>
      <c r="I20" s="4"/>
      <c r="J20" s="4"/>
      <c r="K20" s="4">
        <v>201</v>
      </c>
      <c r="L20" s="4">
        <v>1</v>
      </c>
      <c r="M20" s="4">
        <v>3</v>
      </c>
      <c r="N20" s="4" t="s">
        <v>3</v>
      </c>
      <c r="O20" s="4">
        <v>2</v>
      </c>
      <c r="P20" s="4"/>
    </row>
    <row r="21" spans="1:19" x14ac:dyDescent="0.2">
      <c r="A21" s="4">
        <v>50</v>
      </c>
      <c r="B21" s="4">
        <v>0</v>
      </c>
      <c r="C21" s="4">
        <v>0</v>
      </c>
      <c r="D21" s="4">
        <v>1</v>
      </c>
      <c r="E21" s="4">
        <v>202</v>
      </c>
      <c r="F21" s="4">
        <v>4413.5</v>
      </c>
      <c r="G21" s="4" t="s">
        <v>47</v>
      </c>
      <c r="H21" s="4" t="s">
        <v>48</v>
      </c>
      <c r="I21" s="4"/>
      <c r="J21" s="4"/>
      <c r="K21" s="4">
        <v>202</v>
      </c>
      <c r="L21" s="4">
        <v>2</v>
      </c>
      <c r="M21" s="4">
        <v>3</v>
      </c>
      <c r="N21" s="4" t="s">
        <v>3</v>
      </c>
      <c r="O21" s="4">
        <v>2</v>
      </c>
      <c r="P21" s="4"/>
    </row>
    <row r="22" spans="1:19" x14ac:dyDescent="0.2">
      <c r="A22" s="4">
        <v>50</v>
      </c>
      <c r="B22" s="4">
        <v>0</v>
      </c>
      <c r="C22" s="4">
        <v>0</v>
      </c>
      <c r="D22" s="4">
        <v>1</v>
      </c>
      <c r="E22" s="4">
        <v>222</v>
      </c>
      <c r="F22" s="4">
        <v>0</v>
      </c>
      <c r="G22" s="4" t="s">
        <v>49</v>
      </c>
      <c r="H22" s="4" t="s">
        <v>50</v>
      </c>
      <c r="I22" s="4"/>
      <c r="J22" s="4"/>
      <c r="K22" s="4">
        <v>222</v>
      </c>
      <c r="L22" s="4">
        <v>3</v>
      </c>
      <c r="M22" s="4">
        <v>3</v>
      </c>
      <c r="N22" s="4" t="s">
        <v>3</v>
      </c>
      <c r="O22" s="4">
        <v>2</v>
      </c>
      <c r="P22" s="4"/>
    </row>
    <row r="23" spans="1:19" x14ac:dyDescent="0.2">
      <c r="A23" s="4">
        <v>50</v>
      </c>
      <c r="B23" s="4">
        <v>0</v>
      </c>
      <c r="C23" s="4">
        <v>0</v>
      </c>
      <c r="D23" s="4">
        <v>1</v>
      </c>
      <c r="E23" s="4">
        <v>225</v>
      </c>
      <c r="F23" s="4">
        <v>4413.5</v>
      </c>
      <c r="G23" s="4" t="s">
        <v>51</v>
      </c>
      <c r="H23" s="4" t="s">
        <v>52</v>
      </c>
      <c r="I23" s="4"/>
      <c r="J23" s="4"/>
      <c r="K23" s="4">
        <v>225</v>
      </c>
      <c r="L23" s="4">
        <v>4</v>
      </c>
      <c r="M23" s="4">
        <v>3</v>
      </c>
      <c r="N23" s="4" t="s">
        <v>3</v>
      </c>
      <c r="O23" s="4">
        <v>2</v>
      </c>
      <c r="P23" s="4"/>
    </row>
    <row r="24" spans="1:19" x14ac:dyDescent="0.2">
      <c r="A24" s="4">
        <v>50</v>
      </c>
      <c r="B24" s="4">
        <v>0</v>
      </c>
      <c r="C24" s="4">
        <v>0</v>
      </c>
      <c r="D24" s="4">
        <v>1</v>
      </c>
      <c r="E24" s="4">
        <v>226</v>
      </c>
      <c r="F24" s="4">
        <v>4413.5</v>
      </c>
      <c r="G24" s="4" t="s">
        <v>53</v>
      </c>
      <c r="H24" s="4" t="s">
        <v>54</v>
      </c>
      <c r="I24" s="4"/>
      <c r="J24" s="4"/>
      <c r="K24" s="4">
        <v>226</v>
      </c>
      <c r="L24" s="4">
        <v>5</v>
      </c>
      <c r="M24" s="4">
        <v>3</v>
      </c>
      <c r="N24" s="4" t="s">
        <v>3</v>
      </c>
      <c r="O24" s="4">
        <v>2</v>
      </c>
      <c r="P24" s="4"/>
    </row>
    <row r="25" spans="1:19" x14ac:dyDescent="0.2">
      <c r="A25" s="4">
        <v>50</v>
      </c>
      <c r="B25" s="4">
        <v>0</v>
      </c>
      <c r="C25" s="4">
        <v>0</v>
      </c>
      <c r="D25" s="4">
        <v>1</v>
      </c>
      <c r="E25" s="4">
        <v>227</v>
      </c>
      <c r="F25" s="4">
        <v>0</v>
      </c>
      <c r="G25" s="4" t="s">
        <v>55</v>
      </c>
      <c r="H25" s="4" t="s">
        <v>56</v>
      </c>
      <c r="I25" s="4"/>
      <c r="J25" s="4"/>
      <c r="K25" s="4">
        <v>227</v>
      </c>
      <c r="L25" s="4">
        <v>6</v>
      </c>
      <c r="M25" s="4">
        <v>3</v>
      </c>
      <c r="N25" s="4" t="s">
        <v>3</v>
      </c>
      <c r="O25" s="4">
        <v>2</v>
      </c>
      <c r="P25" s="4"/>
    </row>
    <row r="26" spans="1:19" x14ac:dyDescent="0.2">
      <c r="A26" s="4">
        <v>50</v>
      </c>
      <c r="B26" s="4">
        <v>0</v>
      </c>
      <c r="C26" s="4">
        <v>0</v>
      </c>
      <c r="D26" s="4">
        <v>1</v>
      </c>
      <c r="E26" s="4">
        <v>228</v>
      </c>
      <c r="F26" s="4">
        <v>4413.5</v>
      </c>
      <c r="G26" s="4" t="s">
        <v>57</v>
      </c>
      <c r="H26" s="4" t="s">
        <v>58</v>
      </c>
      <c r="I26" s="4"/>
      <c r="J26" s="4"/>
      <c r="K26" s="4">
        <v>228</v>
      </c>
      <c r="L26" s="4">
        <v>7</v>
      </c>
      <c r="M26" s="4">
        <v>3</v>
      </c>
      <c r="N26" s="4" t="s">
        <v>3</v>
      </c>
      <c r="O26" s="4">
        <v>2</v>
      </c>
      <c r="P26" s="4"/>
    </row>
    <row r="27" spans="1:19" x14ac:dyDescent="0.2">
      <c r="A27" s="4">
        <v>50</v>
      </c>
      <c r="B27" s="4">
        <v>0</v>
      </c>
      <c r="C27" s="4">
        <v>0</v>
      </c>
      <c r="D27" s="4">
        <v>1</v>
      </c>
      <c r="E27" s="4">
        <v>216</v>
      </c>
      <c r="F27" s="4">
        <v>0</v>
      </c>
      <c r="G27" s="4" t="s">
        <v>59</v>
      </c>
      <c r="H27" s="4" t="s">
        <v>60</v>
      </c>
      <c r="I27" s="4"/>
      <c r="J27" s="4"/>
      <c r="K27" s="4">
        <v>216</v>
      </c>
      <c r="L27" s="4">
        <v>8</v>
      </c>
      <c r="M27" s="4">
        <v>3</v>
      </c>
      <c r="N27" s="4" t="s">
        <v>3</v>
      </c>
      <c r="O27" s="4">
        <v>2</v>
      </c>
      <c r="P27" s="4"/>
    </row>
    <row r="28" spans="1:19" x14ac:dyDescent="0.2">
      <c r="A28" s="4">
        <v>50</v>
      </c>
      <c r="B28" s="4">
        <v>0</v>
      </c>
      <c r="C28" s="4">
        <v>0</v>
      </c>
      <c r="D28" s="4">
        <v>1</v>
      </c>
      <c r="E28" s="4">
        <v>223</v>
      </c>
      <c r="F28" s="4">
        <v>0</v>
      </c>
      <c r="G28" s="4" t="s">
        <v>61</v>
      </c>
      <c r="H28" s="4" t="s">
        <v>62</v>
      </c>
      <c r="I28" s="4"/>
      <c r="J28" s="4"/>
      <c r="K28" s="4">
        <v>223</v>
      </c>
      <c r="L28" s="4">
        <v>9</v>
      </c>
      <c r="M28" s="4">
        <v>3</v>
      </c>
      <c r="N28" s="4" t="s">
        <v>3</v>
      </c>
      <c r="O28" s="4">
        <v>2</v>
      </c>
      <c r="P28" s="4"/>
    </row>
    <row r="29" spans="1:19" x14ac:dyDescent="0.2">
      <c r="A29" s="4">
        <v>50</v>
      </c>
      <c r="B29" s="4">
        <v>0</v>
      </c>
      <c r="C29" s="4">
        <v>0</v>
      </c>
      <c r="D29" s="4">
        <v>1</v>
      </c>
      <c r="E29" s="4">
        <v>229</v>
      </c>
      <c r="F29" s="4">
        <v>0</v>
      </c>
      <c r="G29" s="4" t="s">
        <v>63</v>
      </c>
      <c r="H29" s="4" t="s">
        <v>64</v>
      </c>
      <c r="I29" s="4"/>
      <c r="J29" s="4"/>
      <c r="K29" s="4">
        <v>229</v>
      </c>
      <c r="L29" s="4">
        <v>10</v>
      </c>
      <c r="M29" s="4">
        <v>3</v>
      </c>
      <c r="N29" s="4" t="s">
        <v>3</v>
      </c>
      <c r="O29" s="4">
        <v>2</v>
      </c>
      <c r="P29" s="4"/>
    </row>
    <row r="30" spans="1:19" x14ac:dyDescent="0.2">
      <c r="A30" s="4">
        <v>50</v>
      </c>
      <c r="B30" s="4">
        <v>0</v>
      </c>
      <c r="C30" s="4">
        <v>0</v>
      </c>
      <c r="D30" s="4">
        <v>1</v>
      </c>
      <c r="E30" s="4">
        <v>203</v>
      </c>
      <c r="F30" s="4">
        <v>3872035.75</v>
      </c>
      <c r="G30" s="4" t="s">
        <v>65</v>
      </c>
      <c r="H30" s="4" t="s">
        <v>66</v>
      </c>
      <c r="I30" s="4"/>
      <c r="J30" s="4"/>
      <c r="K30" s="4">
        <v>203</v>
      </c>
      <c r="L30" s="4">
        <v>11</v>
      </c>
      <c r="M30" s="4">
        <v>3</v>
      </c>
      <c r="N30" s="4" t="s">
        <v>3</v>
      </c>
      <c r="O30" s="4">
        <v>2</v>
      </c>
      <c r="P30" s="4"/>
    </row>
    <row r="31" spans="1:19" x14ac:dyDescent="0.2">
      <c r="A31" s="4">
        <v>50</v>
      </c>
      <c r="B31" s="4">
        <v>0</v>
      </c>
      <c r="C31" s="4">
        <v>0</v>
      </c>
      <c r="D31" s="4">
        <v>1</v>
      </c>
      <c r="E31" s="4">
        <v>231</v>
      </c>
      <c r="F31" s="4">
        <v>0</v>
      </c>
      <c r="G31" s="4" t="s">
        <v>67</v>
      </c>
      <c r="H31" s="4" t="s">
        <v>68</v>
      </c>
      <c r="I31" s="4"/>
      <c r="J31" s="4"/>
      <c r="K31" s="4">
        <v>231</v>
      </c>
      <c r="L31" s="4">
        <v>12</v>
      </c>
      <c r="M31" s="4">
        <v>3</v>
      </c>
      <c r="N31" s="4" t="s">
        <v>3</v>
      </c>
      <c r="O31" s="4">
        <v>2</v>
      </c>
      <c r="P31" s="4"/>
    </row>
    <row r="32" spans="1:19" x14ac:dyDescent="0.2">
      <c r="A32" s="4">
        <v>50</v>
      </c>
      <c r="B32" s="4">
        <v>0</v>
      </c>
      <c r="C32" s="4">
        <v>0</v>
      </c>
      <c r="D32" s="4">
        <v>1</v>
      </c>
      <c r="E32" s="4">
        <v>204</v>
      </c>
      <c r="F32" s="4">
        <v>1628095.86</v>
      </c>
      <c r="G32" s="4" t="s">
        <v>69</v>
      </c>
      <c r="H32" s="4" t="s">
        <v>70</v>
      </c>
      <c r="I32" s="4"/>
      <c r="J32" s="4"/>
      <c r="K32" s="4">
        <v>204</v>
      </c>
      <c r="L32" s="4">
        <v>13</v>
      </c>
      <c r="M32" s="4">
        <v>3</v>
      </c>
      <c r="N32" s="4" t="s">
        <v>3</v>
      </c>
      <c r="O32" s="4">
        <v>2</v>
      </c>
      <c r="P32" s="4"/>
    </row>
    <row r="33" spans="1:16" x14ac:dyDescent="0.2">
      <c r="A33" s="4">
        <v>50</v>
      </c>
      <c r="B33" s="4">
        <v>0</v>
      </c>
      <c r="C33" s="4">
        <v>0</v>
      </c>
      <c r="D33" s="4">
        <v>1</v>
      </c>
      <c r="E33" s="4">
        <v>205</v>
      </c>
      <c r="F33" s="4">
        <v>1209107.72</v>
      </c>
      <c r="G33" s="4" t="s">
        <v>71</v>
      </c>
      <c r="H33" s="4" t="s">
        <v>72</v>
      </c>
      <c r="I33" s="4"/>
      <c r="J33" s="4"/>
      <c r="K33" s="4">
        <v>205</v>
      </c>
      <c r="L33" s="4">
        <v>14</v>
      </c>
      <c r="M33" s="4">
        <v>3</v>
      </c>
      <c r="N33" s="4" t="s">
        <v>3</v>
      </c>
      <c r="O33" s="4">
        <v>2</v>
      </c>
      <c r="P33" s="4"/>
    </row>
    <row r="34" spans="1:16" x14ac:dyDescent="0.2">
      <c r="A34" s="4">
        <v>50</v>
      </c>
      <c r="B34" s="4">
        <v>0</v>
      </c>
      <c r="C34" s="4">
        <v>0</v>
      </c>
      <c r="D34" s="4">
        <v>1</v>
      </c>
      <c r="E34" s="4">
        <v>232</v>
      </c>
      <c r="F34" s="4">
        <v>0</v>
      </c>
      <c r="G34" s="4" t="s">
        <v>73</v>
      </c>
      <c r="H34" s="4" t="s">
        <v>74</v>
      </c>
      <c r="I34" s="4"/>
      <c r="J34" s="4"/>
      <c r="K34" s="4">
        <v>232</v>
      </c>
      <c r="L34" s="4">
        <v>15</v>
      </c>
      <c r="M34" s="4">
        <v>3</v>
      </c>
      <c r="N34" s="4" t="s">
        <v>3</v>
      </c>
      <c r="O34" s="4">
        <v>2</v>
      </c>
      <c r="P34" s="4"/>
    </row>
    <row r="35" spans="1:16" x14ac:dyDescent="0.2">
      <c r="A35" s="4">
        <v>50</v>
      </c>
      <c r="B35" s="4">
        <v>0</v>
      </c>
      <c r="C35" s="4">
        <v>0</v>
      </c>
      <c r="D35" s="4">
        <v>1</v>
      </c>
      <c r="E35" s="4">
        <v>214</v>
      </c>
      <c r="F35" s="4">
        <v>0</v>
      </c>
      <c r="G35" s="4" t="s">
        <v>75</v>
      </c>
      <c r="H35" s="4" t="s">
        <v>76</v>
      </c>
      <c r="I35" s="4"/>
      <c r="J35" s="4"/>
      <c r="K35" s="4">
        <v>214</v>
      </c>
      <c r="L35" s="4">
        <v>16</v>
      </c>
      <c r="M35" s="4">
        <v>3</v>
      </c>
      <c r="N35" s="4" t="s">
        <v>3</v>
      </c>
      <c r="O35" s="4">
        <v>2</v>
      </c>
      <c r="P35" s="4"/>
    </row>
    <row r="36" spans="1:16" x14ac:dyDescent="0.2">
      <c r="A36" s="4">
        <v>50</v>
      </c>
      <c r="B36" s="4">
        <v>0</v>
      </c>
      <c r="C36" s="4">
        <v>0</v>
      </c>
      <c r="D36" s="4">
        <v>1</v>
      </c>
      <c r="E36" s="4">
        <v>215</v>
      </c>
      <c r="F36" s="4">
        <v>0</v>
      </c>
      <c r="G36" s="4" t="s">
        <v>77</v>
      </c>
      <c r="H36" s="4" t="s">
        <v>78</v>
      </c>
      <c r="I36" s="4"/>
      <c r="J36" s="4"/>
      <c r="K36" s="4">
        <v>215</v>
      </c>
      <c r="L36" s="4">
        <v>17</v>
      </c>
      <c r="M36" s="4">
        <v>3</v>
      </c>
      <c r="N36" s="4" t="s">
        <v>3</v>
      </c>
      <c r="O36" s="4">
        <v>2</v>
      </c>
      <c r="P36" s="4"/>
    </row>
    <row r="37" spans="1:16" x14ac:dyDescent="0.2">
      <c r="A37" s="4">
        <v>50</v>
      </c>
      <c r="B37" s="4">
        <v>0</v>
      </c>
      <c r="C37" s="4">
        <v>0</v>
      </c>
      <c r="D37" s="4">
        <v>1</v>
      </c>
      <c r="E37" s="4">
        <v>217</v>
      </c>
      <c r="F37" s="4">
        <v>7811186.6799999997</v>
      </c>
      <c r="G37" s="4" t="s">
        <v>79</v>
      </c>
      <c r="H37" s="4" t="s">
        <v>80</v>
      </c>
      <c r="I37" s="4"/>
      <c r="J37" s="4"/>
      <c r="K37" s="4">
        <v>217</v>
      </c>
      <c r="L37" s="4">
        <v>18</v>
      </c>
      <c r="M37" s="4">
        <v>3</v>
      </c>
      <c r="N37" s="4" t="s">
        <v>3</v>
      </c>
      <c r="O37" s="4">
        <v>2</v>
      </c>
      <c r="P37" s="4"/>
    </row>
    <row r="38" spans="1:16" x14ac:dyDescent="0.2">
      <c r="A38" s="4">
        <v>50</v>
      </c>
      <c r="B38" s="4">
        <v>0</v>
      </c>
      <c r="C38" s="4">
        <v>0</v>
      </c>
      <c r="D38" s="4">
        <v>1</v>
      </c>
      <c r="E38" s="4">
        <v>230</v>
      </c>
      <c r="F38" s="4">
        <v>0</v>
      </c>
      <c r="G38" s="4" t="s">
        <v>81</v>
      </c>
      <c r="H38" s="4" t="s">
        <v>82</v>
      </c>
      <c r="I38" s="4"/>
      <c r="J38" s="4"/>
      <c r="K38" s="4">
        <v>230</v>
      </c>
      <c r="L38" s="4">
        <v>19</v>
      </c>
      <c r="M38" s="4">
        <v>3</v>
      </c>
      <c r="N38" s="4" t="s">
        <v>3</v>
      </c>
      <c r="O38" s="4">
        <v>2</v>
      </c>
      <c r="P38" s="4"/>
    </row>
    <row r="39" spans="1:16" x14ac:dyDescent="0.2">
      <c r="A39" s="4">
        <v>50</v>
      </c>
      <c r="B39" s="4">
        <v>0</v>
      </c>
      <c r="C39" s="4">
        <v>0</v>
      </c>
      <c r="D39" s="4">
        <v>1</v>
      </c>
      <c r="E39" s="4">
        <v>206</v>
      </c>
      <c r="F39" s="4">
        <v>0</v>
      </c>
      <c r="G39" s="4" t="s">
        <v>83</v>
      </c>
      <c r="H39" s="4" t="s">
        <v>84</v>
      </c>
      <c r="I39" s="4"/>
      <c r="J39" s="4"/>
      <c r="K39" s="4">
        <v>206</v>
      </c>
      <c r="L39" s="4">
        <v>20</v>
      </c>
      <c r="M39" s="4">
        <v>3</v>
      </c>
      <c r="N39" s="4" t="s">
        <v>3</v>
      </c>
      <c r="O39" s="4">
        <v>2</v>
      </c>
      <c r="P39" s="4"/>
    </row>
    <row r="40" spans="1:16" x14ac:dyDescent="0.2">
      <c r="A40" s="4">
        <v>50</v>
      </c>
      <c r="B40" s="4">
        <v>0</v>
      </c>
      <c r="C40" s="4">
        <v>0</v>
      </c>
      <c r="D40" s="4">
        <v>1</v>
      </c>
      <c r="E40" s="4">
        <v>207</v>
      </c>
      <c r="F40" s="4">
        <v>4684.7738559999998</v>
      </c>
      <c r="G40" s="4" t="s">
        <v>85</v>
      </c>
      <c r="H40" s="4" t="s">
        <v>86</v>
      </c>
      <c r="I40" s="4"/>
      <c r="J40" s="4"/>
      <c r="K40" s="4">
        <v>207</v>
      </c>
      <c r="L40" s="4">
        <v>21</v>
      </c>
      <c r="M40" s="4">
        <v>3</v>
      </c>
      <c r="N40" s="4" t="s">
        <v>3</v>
      </c>
      <c r="O40" s="4">
        <v>-1</v>
      </c>
      <c r="P40" s="4"/>
    </row>
    <row r="41" spans="1:16" x14ac:dyDescent="0.2">
      <c r="A41" s="4">
        <v>50</v>
      </c>
      <c r="B41" s="4">
        <v>0</v>
      </c>
      <c r="C41" s="4">
        <v>0</v>
      </c>
      <c r="D41" s="4">
        <v>1</v>
      </c>
      <c r="E41" s="4">
        <v>208</v>
      </c>
      <c r="F41" s="4">
        <v>0</v>
      </c>
      <c r="G41" s="4" t="s">
        <v>87</v>
      </c>
      <c r="H41" s="4" t="s">
        <v>88</v>
      </c>
      <c r="I41" s="4"/>
      <c r="J41" s="4"/>
      <c r="K41" s="4">
        <v>208</v>
      </c>
      <c r="L41" s="4">
        <v>22</v>
      </c>
      <c r="M41" s="4">
        <v>3</v>
      </c>
      <c r="N41" s="4" t="s">
        <v>3</v>
      </c>
      <c r="O41" s="4">
        <v>-1</v>
      </c>
      <c r="P41" s="4"/>
    </row>
    <row r="42" spans="1:16" x14ac:dyDescent="0.2">
      <c r="A42" s="4">
        <v>50</v>
      </c>
      <c r="B42" s="4">
        <v>0</v>
      </c>
      <c r="C42" s="4">
        <v>0</v>
      </c>
      <c r="D42" s="4">
        <v>1</v>
      </c>
      <c r="E42" s="4">
        <v>209</v>
      </c>
      <c r="F42" s="4">
        <v>0</v>
      </c>
      <c r="G42" s="4" t="s">
        <v>89</v>
      </c>
      <c r="H42" s="4" t="s">
        <v>90</v>
      </c>
      <c r="I42" s="4"/>
      <c r="J42" s="4"/>
      <c r="K42" s="4">
        <v>209</v>
      </c>
      <c r="L42" s="4">
        <v>23</v>
      </c>
      <c r="M42" s="4">
        <v>3</v>
      </c>
      <c r="N42" s="4" t="s">
        <v>3</v>
      </c>
      <c r="O42" s="4">
        <v>2</v>
      </c>
      <c r="P42" s="4"/>
    </row>
    <row r="43" spans="1:16" x14ac:dyDescent="0.2">
      <c r="A43" s="4">
        <v>50</v>
      </c>
      <c r="B43" s="4">
        <v>0</v>
      </c>
      <c r="C43" s="4">
        <v>0</v>
      </c>
      <c r="D43" s="4">
        <v>1</v>
      </c>
      <c r="E43" s="4">
        <v>210</v>
      </c>
      <c r="F43" s="4">
        <v>846375.4</v>
      </c>
      <c r="G43" s="4" t="s">
        <v>91</v>
      </c>
      <c r="H43" s="4" t="s">
        <v>92</v>
      </c>
      <c r="I43" s="4"/>
      <c r="J43" s="4"/>
      <c r="K43" s="4">
        <v>210</v>
      </c>
      <c r="L43" s="4">
        <v>24</v>
      </c>
      <c r="M43" s="4">
        <v>3</v>
      </c>
      <c r="N43" s="4" t="s">
        <v>3</v>
      </c>
      <c r="O43" s="4">
        <v>2</v>
      </c>
      <c r="P43" s="4"/>
    </row>
    <row r="44" spans="1:16" x14ac:dyDescent="0.2">
      <c r="A44" s="4">
        <v>50</v>
      </c>
      <c r="B44" s="4">
        <v>0</v>
      </c>
      <c r="C44" s="4">
        <v>0</v>
      </c>
      <c r="D44" s="4">
        <v>1</v>
      </c>
      <c r="E44" s="4">
        <v>211</v>
      </c>
      <c r="F44" s="4">
        <v>120910.78</v>
      </c>
      <c r="G44" s="4" t="s">
        <v>93</v>
      </c>
      <c r="H44" s="4" t="s">
        <v>94</v>
      </c>
      <c r="I44" s="4"/>
      <c r="J44" s="4"/>
      <c r="K44" s="4">
        <v>211</v>
      </c>
      <c r="L44" s="4">
        <v>25</v>
      </c>
      <c r="M44" s="4">
        <v>3</v>
      </c>
      <c r="N44" s="4" t="s">
        <v>3</v>
      </c>
      <c r="O44" s="4">
        <v>2</v>
      </c>
      <c r="P44" s="4"/>
    </row>
    <row r="45" spans="1:16" x14ac:dyDescent="0.2">
      <c r="A45" s="4">
        <v>50</v>
      </c>
      <c r="B45" s="4">
        <v>0</v>
      </c>
      <c r="C45" s="4">
        <v>0</v>
      </c>
      <c r="D45" s="4">
        <v>1</v>
      </c>
      <c r="E45" s="4">
        <v>224</v>
      </c>
      <c r="F45" s="4">
        <v>7811186.6799999997</v>
      </c>
      <c r="G45" s="4" t="s">
        <v>95</v>
      </c>
      <c r="H45" s="4" t="s">
        <v>96</v>
      </c>
      <c r="I45" s="4"/>
      <c r="J45" s="4"/>
      <c r="K45" s="4">
        <v>224</v>
      </c>
      <c r="L45" s="4">
        <v>26</v>
      </c>
      <c r="M45" s="4">
        <v>3</v>
      </c>
      <c r="N45" s="4" t="s">
        <v>3</v>
      </c>
      <c r="O45" s="4">
        <v>2</v>
      </c>
      <c r="P45" s="4"/>
    </row>
    <row r="47" spans="1:16" x14ac:dyDescent="0.2">
      <c r="A47">
        <v>-1</v>
      </c>
    </row>
    <row r="50" spans="1:15" x14ac:dyDescent="0.2">
      <c r="A50" s="3">
        <v>75</v>
      </c>
      <c r="B50" s="3" t="s">
        <v>150</v>
      </c>
      <c r="C50" s="3">
        <v>2018</v>
      </c>
      <c r="D50" s="3">
        <v>0</v>
      </c>
      <c r="E50" s="3">
        <v>1</v>
      </c>
      <c r="F50" s="3">
        <v>0</v>
      </c>
      <c r="G50" s="3">
        <v>0</v>
      </c>
      <c r="H50" s="3">
        <v>1</v>
      </c>
      <c r="I50" s="3">
        <v>0</v>
      </c>
      <c r="J50" s="3">
        <v>1</v>
      </c>
      <c r="K50" s="3">
        <v>78</v>
      </c>
      <c r="L50" s="3">
        <v>30</v>
      </c>
      <c r="M50" s="3">
        <v>0</v>
      </c>
      <c r="N50" s="3">
        <v>33299672</v>
      </c>
      <c r="O50" s="3">
        <v>1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B33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06" x14ac:dyDescent="0.2">
      <c r="A1">
        <f>ROW(Source!A28)</f>
        <v>28</v>
      </c>
      <c r="B1">
        <v>33299672</v>
      </c>
      <c r="C1">
        <v>33299685</v>
      </c>
      <c r="D1">
        <v>32893498</v>
      </c>
      <c r="E1">
        <v>28875167</v>
      </c>
      <c r="F1">
        <v>1</v>
      </c>
      <c r="G1">
        <v>28875167</v>
      </c>
      <c r="H1">
        <v>1</v>
      </c>
      <c r="I1" t="s">
        <v>37</v>
      </c>
      <c r="J1" t="s">
        <v>3</v>
      </c>
      <c r="K1" t="s">
        <v>152</v>
      </c>
      <c r="L1">
        <v>1191</v>
      </c>
      <c r="N1">
        <v>1013</v>
      </c>
      <c r="O1" t="s">
        <v>39</v>
      </c>
      <c r="P1" t="s">
        <v>39</v>
      </c>
      <c r="Q1">
        <v>1</v>
      </c>
      <c r="W1">
        <v>0</v>
      </c>
      <c r="X1">
        <v>476480486</v>
      </c>
      <c r="Y1">
        <v>0.4</v>
      </c>
      <c r="AA1">
        <v>0</v>
      </c>
      <c r="AB1">
        <v>0</v>
      </c>
      <c r="AC1">
        <v>0</v>
      </c>
      <c r="AD1">
        <v>0</v>
      </c>
      <c r="AE1">
        <v>0</v>
      </c>
      <c r="AF1">
        <v>0</v>
      </c>
      <c r="AG1">
        <v>0</v>
      </c>
      <c r="AH1">
        <v>0</v>
      </c>
      <c r="AI1">
        <v>1</v>
      </c>
      <c r="AJ1">
        <v>1</v>
      </c>
      <c r="AK1">
        <v>1</v>
      </c>
      <c r="AL1">
        <v>1</v>
      </c>
      <c r="AN1">
        <v>0</v>
      </c>
      <c r="AO1">
        <v>1</v>
      </c>
      <c r="AP1">
        <v>1</v>
      </c>
      <c r="AQ1">
        <v>0</v>
      </c>
      <c r="AR1">
        <v>0</v>
      </c>
      <c r="AS1" t="s">
        <v>3</v>
      </c>
      <c r="AT1">
        <v>0.2</v>
      </c>
      <c r="AU1" t="s">
        <v>19</v>
      </c>
      <c r="AV1">
        <v>1</v>
      </c>
      <c r="AW1">
        <v>2</v>
      </c>
      <c r="AX1">
        <v>33299687</v>
      </c>
      <c r="AY1">
        <v>1</v>
      </c>
      <c r="AZ1">
        <v>0</v>
      </c>
      <c r="BA1">
        <v>1</v>
      </c>
      <c r="BB1">
        <v>0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0</v>
      </c>
      <c r="BN1">
        <v>0</v>
      </c>
      <c r="BO1">
        <v>0</v>
      </c>
      <c r="BP1">
        <v>0</v>
      </c>
      <c r="BQ1">
        <v>0</v>
      </c>
      <c r="BR1">
        <v>0</v>
      </c>
      <c r="BS1">
        <v>0</v>
      </c>
      <c r="BT1">
        <v>0</v>
      </c>
      <c r="BU1">
        <v>0</v>
      </c>
      <c r="BV1">
        <v>0</v>
      </c>
      <c r="BW1">
        <v>0</v>
      </c>
      <c r="CX1">
        <f>Y1*Source!I28</f>
        <v>7.6000000000000005</v>
      </c>
      <c r="CY1">
        <f>AD1</f>
        <v>0</v>
      </c>
      <c r="CZ1">
        <f>AH1</f>
        <v>0</v>
      </c>
      <c r="DA1">
        <f>AL1</f>
        <v>1</v>
      </c>
      <c r="DB1">
        <v>0</v>
      </c>
    </row>
    <row r="2" spans="1:106" x14ac:dyDescent="0.2">
      <c r="A2">
        <f>ROW(Source!A29)</f>
        <v>29</v>
      </c>
      <c r="B2">
        <v>33299672</v>
      </c>
      <c r="C2">
        <v>33299688</v>
      </c>
      <c r="D2">
        <v>32893498</v>
      </c>
      <c r="E2">
        <v>28875167</v>
      </c>
      <c r="F2">
        <v>1</v>
      </c>
      <c r="G2">
        <v>28875167</v>
      </c>
      <c r="H2">
        <v>1</v>
      </c>
      <c r="I2" t="s">
        <v>37</v>
      </c>
      <c r="J2" t="s">
        <v>3</v>
      </c>
      <c r="K2" t="s">
        <v>152</v>
      </c>
      <c r="L2">
        <v>1191</v>
      </c>
      <c r="N2">
        <v>1013</v>
      </c>
      <c r="O2" t="s">
        <v>39</v>
      </c>
      <c r="P2" t="s">
        <v>39</v>
      </c>
      <c r="Q2">
        <v>1</v>
      </c>
      <c r="W2">
        <v>0</v>
      </c>
      <c r="X2">
        <v>476480486</v>
      </c>
      <c r="Y2">
        <v>0.92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1</v>
      </c>
      <c r="AJ2">
        <v>1</v>
      </c>
      <c r="AK2">
        <v>1</v>
      </c>
      <c r="AL2">
        <v>1</v>
      </c>
      <c r="AN2">
        <v>0</v>
      </c>
      <c r="AO2">
        <v>1</v>
      </c>
      <c r="AP2">
        <v>1</v>
      </c>
      <c r="AQ2">
        <v>0</v>
      </c>
      <c r="AR2">
        <v>0</v>
      </c>
      <c r="AS2" t="s">
        <v>3</v>
      </c>
      <c r="AT2">
        <v>0.46</v>
      </c>
      <c r="AU2" t="s">
        <v>19</v>
      </c>
      <c r="AV2">
        <v>1</v>
      </c>
      <c r="AW2">
        <v>2</v>
      </c>
      <c r="AX2">
        <v>33299690</v>
      </c>
      <c r="AY2">
        <v>1</v>
      </c>
      <c r="AZ2">
        <v>0</v>
      </c>
      <c r="BA2">
        <v>2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CX2">
        <f>Y2*Source!I29</f>
        <v>39.459719999999997</v>
      </c>
      <c r="CY2">
        <f>AD2</f>
        <v>0</v>
      </c>
      <c r="CZ2">
        <f>AH2</f>
        <v>0</v>
      </c>
      <c r="DA2">
        <f>AL2</f>
        <v>1</v>
      </c>
      <c r="DB2">
        <v>0</v>
      </c>
    </row>
    <row r="3" spans="1:106" x14ac:dyDescent="0.2">
      <c r="A3">
        <f>ROW(Source!A30)</f>
        <v>30</v>
      </c>
      <c r="B3">
        <v>33299672</v>
      </c>
      <c r="C3">
        <v>33299691</v>
      </c>
      <c r="D3">
        <v>32893498</v>
      </c>
      <c r="E3">
        <v>28875167</v>
      </c>
      <c r="F3">
        <v>1</v>
      </c>
      <c r="G3">
        <v>28875167</v>
      </c>
      <c r="H3">
        <v>1</v>
      </c>
      <c r="I3" t="s">
        <v>37</v>
      </c>
      <c r="J3" t="s">
        <v>3</v>
      </c>
      <c r="K3" t="s">
        <v>152</v>
      </c>
      <c r="L3">
        <v>1191</v>
      </c>
      <c r="N3">
        <v>1013</v>
      </c>
      <c r="O3" t="s">
        <v>39</v>
      </c>
      <c r="P3" t="s">
        <v>39</v>
      </c>
      <c r="Q3">
        <v>1</v>
      </c>
      <c r="W3">
        <v>0</v>
      </c>
      <c r="X3">
        <v>476480486</v>
      </c>
      <c r="Y3">
        <v>12.44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1</v>
      </c>
      <c r="AJ3">
        <v>1</v>
      </c>
      <c r="AK3">
        <v>1</v>
      </c>
      <c r="AL3">
        <v>1</v>
      </c>
      <c r="AN3">
        <v>0</v>
      </c>
      <c r="AO3">
        <v>1</v>
      </c>
      <c r="AP3">
        <v>1</v>
      </c>
      <c r="AQ3">
        <v>0</v>
      </c>
      <c r="AR3">
        <v>0</v>
      </c>
      <c r="AS3" t="s">
        <v>3</v>
      </c>
      <c r="AT3">
        <v>6.22</v>
      </c>
      <c r="AU3" t="s">
        <v>19</v>
      </c>
      <c r="AV3">
        <v>1</v>
      </c>
      <c r="AW3">
        <v>2</v>
      </c>
      <c r="AX3">
        <v>33299695</v>
      </c>
      <c r="AY3">
        <v>1</v>
      </c>
      <c r="AZ3">
        <v>0</v>
      </c>
      <c r="BA3">
        <v>3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CX3">
        <f>Y3*Source!I30</f>
        <v>1744.0879999999997</v>
      </c>
      <c r="CY3">
        <f>AD3</f>
        <v>0</v>
      </c>
      <c r="CZ3">
        <f>AH3</f>
        <v>0</v>
      </c>
      <c r="DA3">
        <f>AL3</f>
        <v>1</v>
      </c>
      <c r="DB3">
        <v>0</v>
      </c>
    </row>
    <row r="4" spans="1:106" x14ac:dyDescent="0.2">
      <c r="A4">
        <f>ROW(Source!A30)</f>
        <v>30</v>
      </c>
      <c r="B4">
        <v>33299672</v>
      </c>
      <c r="C4">
        <v>33299691</v>
      </c>
      <c r="D4">
        <v>32904498</v>
      </c>
      <c r="E4">
        <v>1</v>
      </c>
      <c r="F4">
        <v>1</v>
      </c>
      <c r="G4">
        <v>28875167</v>
      </c>
      <c r="H4">
        <v>2</v>
      </c>
      <c r="I4" t="s">
        <v>122</v>
      </c>
      <c r="J4" t="s">
        <v>124</v>
      </c>
      <c r="K4" t="s">
        <v>153</v>
      </c>
      <c r="L4">
        <v>1368</v>
      </c>
      <c r="N4">
        <v>1011</v>
      </c>
      <c r="O4" t="s">
        <v>43</v>
      </c>
      <c r="P4" t="s">
        <v>43</v>
      </c>
      <c r="Q4">
        <v>1</v>
      </c>
      <c r="W4">
        <v>0</v>
      </c>
      <c r="X4">
        <v>-2072038702</v>
      </c>
      <c r="Y4">
        <v>12.44</v>
      </c>
      <c r="AA4">
        <v>0</v>
      </c>
      <c r="AB4">
        <v>841.74</v>
      </c>
      <c r="AC4">
        <v>355.81</v>
      </c>
      <c r="AD4">
        <v>0</v>
      </c>
      <c r="AE4">
        <v>0</v>
      </c>
      <c r="AF4">
        <v>841.74</v>
      </c>
      <c r="AG4">
        <v>355.81</v>
      </c>
      <c r="AH4">
        <v>0</v>
      </c>
      <c r="AI4">
        <v>1</v>
      </c>
      <c r="AJ4">
        <v>1</v>
      </c>
      <c r="AK4">
        <v>1</v>
      </c>
      <c r="AL4">
        <v>1</v>
      </c>
      <c r="AN4">
        <v>0</v>
      </c>
      <c r="AO4">
        <v>1</v>
      </c>
      <c r="AP4">
        <v>1</v>
      </c>
      <c r="AQ4">
        <v>0</v>
      </c>
      <c r="AR4">
        <v>0</v>
      </c>
      <c r="AS4" t="s">
        <v>3</v>
      </c>
      <c r="AT4">
        <v>6.22</v>
      </c>
      <c r="AU4" t="s">
        <v>19</v>
      </c>
      <c r="AV4">
        <v>0</v>
      </c>
      <c r="AW4">
        <v>2</v>
      </c>
      <c r="AX4">
        <v>33299696</v>
      </c>
      <c r="AY4">
        <v>1</v>
      </c>
      <c r="AZ4">
        <v>0</v>
      </c>
      <c r="BA4">
        <v>4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CX4">
        <f>Y4*Source!I30</f>
        <v>1744.0879999999997</v>
      </c>
      <c r="CY4">
        <f>AB4</f>
        <v>841.74</v>
      </c>
      <c r="CZ4">
        <f>AF4</f>
        <v>841.74</v>
      </c>
      <c r="DA4">
        <f>AJ4</f>
        <v>1</v>
      </c>
      <c r="DB4">
        <v>0</v>
      </c>
    </row>
    <row r="5" spans="1:106" x14ac:dyDescent="0.2">
      <c r="A5">
        <f>ROW(Source!A30)</f>
        <v>30</v>
      </c>
      <c r="B5">
        <v>33299672</v>
      </c>
      <c r="C5">
        <v>33299691</v>
      </c>
      <c r="D5">
        <v>32906947</v>
      </c>
      <c r="E5">
        <v>1</v>
      </c>
      <c r="F5">
        <v>1</v>
      </c>
      <c r="G5">
        <v>28875167</v>
      </c>
      <c r="H5">
        <v>3</v>
      </c>
      <c r="I5" t="s">
        <v>130</v>
      </c>
      <c r="J5" t="s">
        <v>133</v>
      </c>
      <c r="K5" t="s">
        <v>131</v>
      </c>
      <c r="L5">
        <v>1346</v>
      </c>
      <c r="N5">
        <v>1009</v>
      </c>
      <c r="O5" t="s">
        <v>132</v>
      </c>
      <c r="P5" t="s">
        <v>132</v>
      </c>
      <c r="Q5">
        <v>1</v>
      </c>
      <c r="W5">
        <v>0</v>
      </c>
      <c r="X5">
        <v>-613561335</v>
      </c>
      <c r="Y5">
        <v>0.02</v>
      </c>
      <c r="AA5">
        <v>28.66</v>
      </c>
      <c r="AB5">
        <v>0</v>
      </c>
      <c r="AC5">
        <v>0</v>
      </c>
      <c r="AD5">
        <v>0</v>
      </c>
      <c r="AE5">
        <v>28.66</v>
      </c>
      <c r="AF5">
        <v>0</v>
      </c>
      <c r="AG5">
        <v>0</v>
      </c>
      <c r="AH5">
        <v>0</v>
      </c>
      <c r="AI5">
        <v>1</v>
      </c>
      <c r="AJ5">
        <v>1</v>
      </c>
      <c r="AK5">
        <v>1</v>
      </c>
      <c r="AL5">
        <v>1</v>
      </c>
      <c r="AN5">
        <v>0</v>
      </c>
      <c r="AO5">
        <v>1</v>
      </c>
      <c r="AP5">
        <v>1</v>
      </c>
      <c r="AQ5">
        <v>0</v>
      </c>
      <c r="AR5">
        <v>0</v>
      </c>
      <c r="AS5" t="s">
        <v>3</v>
      </c>
      <c r="AT5">
        <v>0.01</v>
      </c>
      <c r="AU5" t="s">
        <v>19</v>
      </c>
      <c r="AV5">
        <v>0</v>
      </c>
      <c r="AW5">
        <v>2</v>
      </c>
      <c r="AX5">
        <v>33299697</v>
      </c>
      <c r="AY5">
        <v>1</v>
      </c>
      <c r="AZ5">
        <v>0</v>
      </c>
      <c r="BA5">
        <v>5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CX5">
        <f>Y5*Source!I30</f>
        <v>2.8039999999999998</v>
      </c>
      <c r="CY5">
        <f>AA5</f>
        <v>28.66</v>
      </c>
      <c r="CZ5">
        <f>AE5</f>
        <v>28.66</v>
      </c>
      <c r="DA5">
        <f>AI5</f>
        <v>1</v>
      </c>
      <c r="DB5">
        <v>0</v>
      </c>
    </row>
    <row r="6" spans="1:106" x14ac:dyDescent="0.2">
      <c r="A6">
        <f>ROW(Source!A31)</f>
        <v>31</v>
      </c>
      <c r="B6">
        <v>33299672</v>
      </c>
      <c r="C6">
        <v>33299816</v>
      </c>
      <c r="D6">
        <v>30477833</v>
      </c>
      <c r="E6">
        <v>30477829</v>
      </c>
      <c r="F6">
        <v>1</v>
      </c>
      <c r="G6">
        <v>28875167</v>
      </c>
      <c r="H6">
        <v>1</v>
      </c>
      <c r="I6" t="s">
        <v>37</v>
      </c>
      <c r="J6" t="s">
        <v>3</v>
      </c>
      <c r="K6" t="s">
        <v>38</v>
      </c>
      <c r="L6">
        <v>1191</v>
      </c>
      <c r="N6">
        <v>1013</v>
      </c>
      <c r="O6" t="s">
        <v>39</v>
      </c>
      <c r="P6" t="s">
        <v>39</v>
      </c>
      <c r="Q6">
        <v>1</v>
      </c>
      <c r="W6">
        <v>0</v>
      </c>
      <c r="X6">
        <v>-2006313420</v>
      </c>
      <c r="Y6">
        <v>6.8000000000000005E-2</v>
      </c>
      <c r="AA6">
        <v>0</v>
      </c>
      <c r="AB6">
        <v>0</v>
      </c>
      <c r="AC6">
        <v>0</v>
      </c>
      <c r="AD6">
        <v>199.36</v>
      </c>
      <c r="AE6">
        <v>0</v>
      </c>
      <c r="AF6">
        <v>0</v>
      </c>
      <c r="AG6">
        <v>0</v>
      </c>
      <c r="AH6">
        <v>199.36</v>
      </c>
      <c r="AI6">
        <v>1</v>
      </c>
      <c r="AJ6">
        <v>1</v>
      </c>
      <c r="AK6">
        <v>1</v>
      </c>
      <c r="AL6">
        <v>1</v>
      </c>
      <c r="AN6">
        <v>0</v>
      </c>
      <c r="AO6">
        <v>0</v>
      </c>
      <c r="AP6">
        <v>1</v>
      </c>
      <c r="AQ6">
        <v>0</v>
      </c>
      <c r="AR6">
        <v>0</v>
      </c>
      <c r="AS6" t="s">
        <v>3</v>
      </c>
      <c r="AT6">
        <v>3.4000000000000002E-2</v>
      </c>
      <c r="AU6" t="s">
        <v>19</v>
      </c>
      <c r="AV6">
        <v>1</v>
      </c>
      <c r="AW6">
        <v>1</v>
      </c>
      <c r="AX6">
        <v>-1</v>
      </c>
      <c r="AY6">
        <v>0</v>
      </c>
      <c r="AZ6">
        <v>0</v>
      </c>
      <c r="BA6" t="s">
        <v>3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CX6">
        <f>Y6*Source!I31</f>
        <v>66.096000000000004</v>
      </c>
      <c r="CY6">
        <f>AD6</f>
        <v>199.36</v>
      </c>
      <c r="CZ6">
        <f>AH6</f>
        <v>199.36</v>
      </c>
      <c r="DA6">
        <f>AL6</f>
        <v>1</v>
      </c>
      <c r="DB6">
        <v>0</v>
      </c>
    </row>
    <row r="7" spans="1:106" x14ac:dyDescent="0.2">
      <c r="A7">
        <f>ROW(Source!A31)</f>
        <v>31</v>
      </c>
      <c r="B7">
        <v>33299672</v>
      </c>
      <c r="C7">
        <v>33299816</v>
      </c>
      <c r="D7">
        <v>30498699</v>
      </c>
      <c r="E7">
        <v>1</v>
      </c>
      <c r="F7">
        <v>1</v>
      </c>
      <c r="G7">
        <v>28875167</v>
      </c>
      <c r="H7">
        <v>2</v>
      </c>
      <c r="I7" t="s">
        <v>41</v>
      </c>
      <c r="J7" t="s">
        <v>44</v>
      </c>
      <c r="K7" t="s">
        <v>42</v>
      </c>
      <c r="L7">
        <v>1368</v>
      </c>
      <c r="N7">
        <v>1011</v>
      </c>
      <c r="O7" t="s">
        <v>43</v>
      </c>
      <c r="P7" t="s">
        <v>43</v>
      </c>
      <c r="Q7">
        <v>1</v>
      </c>
      <c r="W7">
        <v>0</v>
      </c>
      <c r="X7">
        <v>1521689857</v>
      </c>
      <c r="Y7">
        <v>6.8000000000000005E-2</v>
      </c>
      <c r="AA7">
        <v>0</v>
      </c>
      <c r="AB7">
        <v>450.57</v>
      </c>
      <c r="AC7">
        <v>234.23</v>
      </c>
      <c r="AD7">
        <v>0</v>
      </c>
      <c r="AE7">
        <v>0</v>
      </c>
      <c r="AF7">
        <v>450.57</v>
      </c>
      <c r="AG7">
        <v>234.23</v>
      </c>
      <c r="AH7">
        <v>0</v>
      </c>
      <c r="AI7">
        <v>1</v>
      </c>
      <c r="AJ7">
        <v>1</v>
      </c>
      <c r="AK7">
        <v>1</v>
      </c>
      <c r="AL7">
        <v>1</v>
      </c>
      <c r="AN7">
        <v>0</v>
      </c>
      <c r="AO7">
        <v>0</v>
      </c>
      <c r="AP7">
        <v>1</v>
      </c>
      <c r="AQ7">
        <v>0</v>
      </c>
      <c r="AR7">
        <v>0</v>
      </c>
      <c r="AS7" t="s">
        <v>3</v>
      </c>
      <c r="AT7">
        <v>3.4000000000000002E-2</v>
      </c>
      <c r="AU7" t="s">
        <v>19</v>
      </c>
      <c r="AV7">
        <v>0</v>
      </c>
      <c r="AW7">
        <v>1</v>
      </c>
      <c r="AX7">
        <v>-1</v>
      </c>
      <c r="AY7">
        <v>0</v>
      </c>
      <c r="AZ7">
        <v>0</v>
      </c>
      <c r="BA7" t="s">
        <v>3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CX7">
        <f>Y7*Source!I31</f>
        <v>66.096000000000004</v>
      </c>
      <c r="CY7">
        <f>AB7</f>
        <v>450.57</v>
      </c>
      <c r="CZ7">
        <f>AF7</f>
        <v>450.57</v>
      </c>
      <c r="DA7">
        <f>AJ7</f>
        <v>1</v>
      </c>
      <c r="DB7">
        <v>0</v>
      </c>
    </row>
    <row r="8" spans="1:106" x14ac:dyDescent="0.2">
      <c r="A8">
        <f>ROW(Source!A68)</f>
        <v>68</v>
      </c>
      <c r="B8">
        <v>33299672</v>
      </c>
      <c r="C8">
        <v>33299821</v>
      </c>
      <c r="D8">
        <v>32893498</v>
      </c>
      <c r="E8">
        <v>28875167</v>
      </c>
      <c r="F8">
        <v>1</v>
      </c>
      <c r="G8">
        <v>28875167</v>
      </c>
      <c r="H8">
        <v>1</v>
      </c>
      <c r="I8" t="s">
        <v>37</v>
      </c>
      <c r="J8" t="s">
        <v>3</v>
      </c>
      <c r="K8" t="s">
        <v>152</v>
      </c>
      <c r="L8">
        <v>1191</v>
      </c>
      <c r="N8">
        <v>1013</v>
      </c>
      <c r="O8" t="s">
        <v>39</v>
      </c>
      <c r="P8" t="s">
        <v>39</v>
      </c>
      <c r="Q8">
        <v>1</v>
      </c>
      <c r="W8">
        <v>0</v>
      </c>
      <c r="X8">
        <v>476480486</v>
      </c>
      <c r="Y8">
        <v>6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1</v>
      </c>
      <c r="AJ8">
        <v>1</v>
      </c>
      <c r="AK8">
        <v>1</v>
      </c>
      <c r="AL8">
        <v>1</v>
      </c>
      <c r="AN8">
        <v>0</v>
      </c>
      <c r="AO8">
        <v>1</v>
      </c>
      <c r="AP8">
        <v>0</v>
      </c>
      <c r="AQ8">
        <v>0</v>
      </c>
      <c r="AR8">
        <v>0</v>
      </c>
      <c r="AS8" t="s">
        <v>3</v>
      </c>
      <c r="AT8">
        <v>6</v>
      </c>
      <c r="AU8" t="s">
        <v>3</v>
      </c>
      <c r="AV8">
        <v>1</v>
      </c>
      <c r="AW8">
        <v>2</v>
      </c>
      <c r="AX8">
        <v>33299880</v>
      </c>
      <c r="AY8">
        <v>1</v>
      </c>
      <c r="AZ8">
        <v>0</v>
      </c>
      <c r="BA8">
        <v>6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CX8">
        <f>Y8*Source!I68</f>
        <v>114</v>
      </c>
      <c r="CY8">
        <f>AD8</f>
        <v>0</v>
      </c>
      <c r="CZ8">
        <f>AH8</f>
        <v>0</v>
      </c>
      <c r="DA8">
        <f>AL8</f>
        <v>1</v>
      </c>
      <c r="DB8">
        <v>0</v>
      </c>
    </row>
    <row r="9" spans="1:106" x14ac:dyDescent="0.2">
      <c r="A9">
        <f>ROW(Source!A68)</f>
        <v>68</v>
      </c>
      <c r="B9">
        <v>33299672</v>
      </c>
      <c r="C9">
        <v>33299821</v>
      </c>
      <c r="D9">
        <v>32906950</v>
      </c>
      <c r="E9">
        <v>1</v>
      </c>
      <c r="F9">
        <v>1</v>
      </c>
      <c r="G9">
        <v>28875167</v>
      </c>
      <c r="H9">
        <v>3</v>
      </c>
      <c r="I9" t="s">
        <v>154</v>
      </c>
      <c r="J9" t="s">
        <v>155</v>
      </c>
      <c r="K9" t="s">
        <v>156</v>
      </c>
      <c r="L9">
        <v>1346</v>
      </c>
      <c r="N9">
        <v>1009</v>
      </c>
      <c r="O9" t="s">
        <v>132</v>
      </c>
      <c r="P9" t="s">
        <v>132</v>
      </c>
      <c r="Q9">
        <v>1</v>
      </c>
      <c r="W9">
        <v>0</v>
      </c>
      <c r="X9">
        <v>1224238716</v>
      </c>
      <c r="Y9">
        <v>0.12</v>
      </c>
      <c r="AA9">
        <v>135.63</v>
      </c>
      <c r="AB9">
        <v>0</v>
      </c>
      <c r="AC9">
        <v>0</v>
      </c>
      <c r="AD9">
        <v>0</v>
      </c>
      <c r="AE9">
        <v>135.63</v>
      </c>
      <c r="AF9">
        <v>0</v>
      </c>
      <c r="AG9">
        <v>0</v>
      </c>
      <c r="AH9">
        <v>0</v>
      </c>
      <c r="AI9">
        <v>1</v>
      </c>
      <c r="AJ9">
        <v>1</v>
      </c>
      <c r="AK9">
        <v>1</v>
      </c>
      <c r="AL9">
        <v>1</v>
      </c>
      <c r="AN9">
        <v>0</v>
      </c>
      <c r="AO9">
        <v>1</v>
      </c>
      <c r="AP9">
        <v>0</v>
      </c>
      <c r="AQ9">
        <v>0</v>
      </c>
      <c r="AR9">
        <v>0</v>
      </c>
      <c r="AS9" t="s">
        <v>3</v>
      </c>
      <c r="AT9">
        <v>0.12</v>
      </c>
      <c r="AU9" t="s">
        <v>3</v>
      </c>
      <c r="AV9">
        <v>0</v>
      </c>
      <c r="AW9">
        <v>2</v>
      </c>
      <c r="AX9">
        <v>33299882</v>
      </c>
      <c r="AY9">
        <v>1</v>
      </c>
      <c r="AZ9">
        <v>0</v>
      </c>
      <c r="BA9">
        <v>7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CX9">
        <f>Y9*Source!I68</f>
        <v>2.2799999999999998</v>
      </c>
      <c r="CY9">
        <f>AA9</f>
        <v>135.63</v>
      </c>
      <c r="CZ9">
        <f>AE9</f>
        <v>135.63</v>
      </c>
      <c r="DA9">
        <f>AI9</f>
        <v>1</v>
      </c>
      <c r="DB9">
        <v>0</v>
      </c>
    </row>
    <row r="10" spans="1:106" x14ac:dyDescent="0.2">
      <c r="A10">
        <f>ROW(Source!A68)</f>
        <v>68</v>
      </c>
      <c r="B10">
        <v>33299672</v>
      </c>
      <c r="C10">
        <v>33299821</v>
      </c>
      <c r="D10">
        <v>32906947</v>
      </c>
      <c r="E10">
        <v>1</v>
      </c>
      <c r="F10">
        <v>1</v>
      </c>
      <c r="G10">
        <v>28875167</v>
      </c>
      <c r="H10">
        <v>3</v>
      </c>
      <c r="I10" t="s">
        <v>130</v>
      </c>
      <c r="J10" t="s">
        <v>133</v>
      </c>
      <c r="K10" t="s">
        <v>131</v>
      </c>
      <c r="L10">
        <v>1346</v>
      </c>
      <c r="N10">
        <v>1009</v>
      </c>
      <c r="O10" t="s">
        <v>132</v>
      </c>
      <c r="P10" t="s">
        <v>132</v>
      </c>
      <c r="Q10">
        <v>1</v>
      </c>
      <c r="W10">
        <v>0</v>
      </c>
      <c r="X10">
        <v>-613561335</v>
      </c>
      <c r="Y10">
        <v>0.04</v>
      </c>
      <c r="AA10">
        <v>28.66</v>
      </c>
      <c r="AB10">
        <v>0</v>
      </c>
      <c r="AC10">
        <v>0</v>
      </c>
      <c r="AD10">
        <v>0</v>
      </c>
      <c r="AE10">
        <v>28.66</v>
      </c>
      <c r="AF10">
        <v>0</v>
      </c>
      <c r="AG10">
        <v>0</v>
      </c>
      <c r="AH10">
        <v>0</v>
      </c>
      <c r="AI10">
        <v>1</v>
      </c>
      <c r="AJ10">
        <v>1</v>
      </c>
      <c r="AK10">
        <v>1</v>
      </c>
      <c r="AL10">
        <v>1</v>
      </c>
      <c r="AN10">
        <v>0</v>
      </c>
      <c r="AO10">
        <v>1</v>
      </c>
      <c r="AP10">
        <v>0</v>
      </c>
      <c r="AQ10">
        <v>0</v>
      </c>
      <c r="AR10">
        <v>0</v>
      </c>
      <c r="AS10" t="s">
        <v>3</v>
      </c>
      <c r="AT10">
        <v>0.04</v>
      </c>
      <c r="AU10" t="s">
        <v>3</v>
      </c>
      <c r="AV10">
        <v>0</v>
      </c>
      <c r="AW10">
        <v>2</v>
      </c>
      <c r="AX10">
        <v>33299883</v>
      </c>
      <c r="AY10">
        <v>1</v>
      </c>
      <c r="AZ10">
        <v>0</v>
      </c>
      <c r="BA10">
        <v>8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CX10">
        <f>Y10*Source!I68</f>
        <v>0.76</v>
      </c>
      <c r="CY10">
        <f>AA10</f>
        <v>28.66</v>
      </c>
      <c r="CZ10">
        <f>AE10</f>
        <v>28.66</v>
      </c>
      <c r="DA10">
        <f>AI10</f>
        <v>1</v>
      </c>
      <c r="DB10">
        <v>0</v>
      </c>
    </row>
    <row r="11" spans="1:106" x14ac:dyDescent="0.2">
      <c r="A11">
        <f>ROW(Source!A68)</f>
        <v>68</v>
      </c>
      <c r="B11">
        <v>33299672</v>
      </c>
      <c r="C11">
        <v>33299821</v>
      </c>
      <c r="D11">
        <v>32895014</v>
      </c>
      <c r="E11">
        <v>28875167</v>
      </c>
      <c r="F11">
        <v>1</v>
      </c>
      <c r="G11">
        <v>28875167</v>
      </c>
      <c r="H11">
        <v>3</v>
      </c>
      <c r="I11" t="s">
        <v>157</v>
      </c>
      <c r="J11" t="s">
        <v>3</v>
      </c>
      <c r="K11" t="s">
        <v>158</v>
      </c>
      <c r="L11">
        <v>1346</v>
      </c>
      <c r="N11">
        <v>1009</v>
      </c>
      <c r="O11" t="s">
        <v>132</v>
      </c>
      <c r="P11" t="s">
        <v>132</v>
      </c>
      <c r="Q11">
        <v>1</v>
      </c>
      <c r="W11">
        <v>0</v>
      </c>
      <c r="X11">
        <v>-197379457</v>
      </c>
      <c r="Y11">
        <v>0.04</v>
      </c>
      <c r="AA11">
        <v>46.83</v>
      </c>
      <c r="AB11">
        <v>0</v>
      </c>
      <c r="AC11">
        <v>0</v>
      </c>
      <c r="AD11">
        <v>0</v>
      </c>
      <c r="AE11">
        <v>46.82826</v>
      </c>
      <c r="AF11">
        <v>0</v>
      </c>
      <c r="AG11">
        <v>0</v>
      </c>
      <c r="AH11">
        <v>0</v>
      </c>
      <c r="AI11">
        <v>1</v>
      </c>
      <c r="AJ11">
        <v>1</v>
      </c>
      <c r="AK11">
        <v>1</v>
      </c>
      <c r="AL11">
        <v>1</v>
      </c>
      <c r="AN11">
        <v>0</v>
      </c>
      <c r="AO11">
        <v>1</v>
      </c>
      <c r="AP11">
        <v>0</v>
      </c>
      <c r="AQ11">
        <v>0</v>
      </c>
      <c r="AR11">
        <v>0</v>
      </c>
      <c r="AS11" t="s">
        <v>3</v>
      </c>
      <c r="AT11">
        <v>0.04</v>
      </c>
      <c r="AU11" t="s">
        <v>3</v>
      </c>
      <c r="AV11">
        <v>0</v>
      </c>
      <c r="AW11">
        <v>2</v>
      </c>
      <c r="AX11">
        <v>33299881</v>
      </c>
      <c r="AY11">
        <v>1</v>
      </c>
      <c r="AZ11">
        <v>0</v>
      </c>
      <c r="BA11">
        <v>9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CX11">
        <f>Y11*Source!I68</f>
        <v>0.76</v>
      </c>
      <c r="CY11">
        <f>AA11</f>
        <v>46.83</v>
      </c>
      <c r="CZ11">
        <f>AE11</f>
        <v>46.82826</v>
      </c>
      <c r="DA11">
        <f>AI11</f>
        <v>1</v>
      </c>
      <c r="DB11">
        <v>0</v>
      </c>
    </row>
    <row r="12" spans="1:106" x14ac:dyDescent="0.2">
      <c r="A12">
        <f>ROW(Source!A68)</f>
        <v>68</v>
      </c>
      <c r="B12">
        <v>33299672</v>
      </c>
      <c r="C12">
        <v>33299821</v>
      </c>
      <c r="D12">
        <v>32905692</v>
      </c>
      <c r="E12">
        <v>1</v>
      </c>
      <c r="F12">
        <v>1</v>
      </c>
      <c r="G12">
        <v>28875167</v>
      </c>
      <c r="H12">
        <v>3</v>
      </c>
      <c r="I12" t="s">
        <v>159</v>
      </c>
      <c r="J12" t="s">
        <v>160</v>
      </c>
      <c r="K12" t="s">
        <v>161</v>
      </c>
      <c r="L12">
        <v>1346</v>
      </c>
      <c r="N12">
        <v>1009</v>
      </c>
      <c r="O12" t="s">
        <v>132</v>
      </c>
      <c r="P12" t="s">
        <v>132</v>
      </c>
      <c r="Q12">
        <v>1</v>
      </c>
      <c r="W12">
        <v>0</v>
      </c>
      <c r="X12">
        <v>1936408681</v>
      </c>
      <c r="Y12">
        <v>0.02</v>
      </c>
      <c r="AA12">
        <v>89.4</v>
      </c>
      <c r="AB12">
        <v>0</v>
      </c>
      <c r="AC12">
        <v>0</v>
      </c>
      <c r="AD12">
        <v>0</v>
      </c>
      <c r="AE12">
        <v>89.4</v>
      </c>
      <c r="AF12">
        <v>0</v>
      </c>
      <c r="AG12">
        <v>0</v>
      </c>
      <c r="AH12">
        <v>0</v>
      </c>
      <c r="AI12">
        <v>1</v>
      </c>
      <c r="AJ12">
        <v>1</v>
      </c>
      <c r="AK12">
        <v>1</v>
      </c>
      <c r="AL12">
        <v>1</v>
      </c>
      <c r="AN12">
        <v>0</v>
      </c>
      <c r="AO12">
        <v>1</v>
      </c>
      <c r="AP12">
        <v>0</v>
      </c>
      <c r="AQ12">
        <v>0</v>
      </c>
      <c r="AR12">
        <v>0</v>
      </c>
      <c r="AS12" t="s">
        <v>3</v>
      </c>
      <c r="AT12">
        <v>0.02</v>
      </c>
      <c r="AU12" t="s">
        <v>3</v>
      </c>
      <c r="AV12">
        <v>0</v>
      </c>
      <c r="AW12">
        <v>2</v>
      </c>
      <c r="AX12">
        <v>33299884</v>
      </c>
      <c r="AY12">
        <v>1</v>
      </c>
      <c r="AZ12">
        <v>0</v>
      </c>
      <c r="BA12">
        <v>10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CX12">
        <f>Y12*Source!I68</f>
        <v>0.38</v>
      </c>
      <c r="CY12">
        <f>AA12</f>
        <v>89.4</v>
      </c>
      <c r="CZ12">
        <f>AE12</f>
        <v>89.4</v>
      </c>
      <c r="DA12">
        <f>AI12</f>
        <v>1</v>
      </c>
      <c r="DB12">
        <v>0</v>
      </c>
    </row>
    <row r="13" spans="1:106" x14ac:dyDescent="0.2">
      <c r="A13">
        <f>ROW(Source!A69)</f>
        <v>69</v>
      </c>
      <c r="B13">
        <v>33299672</v>
      </c>
      <c r="C13">
        <v>33299832</v>
      </c>
      <c r="D13">
        <v>32893498</v>
      </c>
      <c r="E13">
        <v>28875167</v>
      </c>
      <c r="F13">
        <v>1</v>
      </c>
      <c r="G13">
        <v>28875167</v>
      </c>
      <c r="H13">
        <v>1</v>
      </c>
      <c r="I13" t="s">
        <v>37</v>
      </c>
      <c r="J13" t="s">
        <v>3</v>
      </c>
      <c r="K13" t="s">
        <v>152</v>
      </c>
      <c r="L13">
        <v>1191</v>
      </c>
      <c r="N13">
        <v>1013</v>
      </c>
      <c r="O13" t="s">
        <v>39</v>
      </c>
      <c r="P13" t="s">
        <v>39</v>
      </c>
      <c r="Q13">
        <v>1</v>
      </c>
      <c r="W13">
        <v>0</v>
      </c>
      <c r="X13">
        <v>476480486</v>
      </c>
      <c r="Y13">
        <v>13.8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1</v>
      </c>
      <c r="AJ13">
        <v>1</v>
      </c>
      <c r="AK13">
        <v>1</v>
      </c>
      <c r="AL13">
        <v>1</v>
      </c>
      <c r="AN13">
        <v>0</v>
      </c>
      <c r="AO13">
        <v>1</v>
      </c>
      <c r="AP13">
        <v>0</v>
      </c>
      <c r="AQ13">
        <v>0</v>
      </c>
      <c r="AR13">
        <v>0</v>
      </c>
      <c r="AS13" t="s">
        <v>3</v>
      </c>
      <c r="AT13">
        <v>13.8</v>
      </c>
      <c r="AU13" t="s">
        <v>3</v>
      </c>
      <c r="AV13">
        <v>1</v>
      </c>
      <c r="AW13">
        <v>2</v>
      </c>
      <c r="AX13">
        <v>33299885</v>
      </c>
      <c r="AY13">
        <v>1</v>
      </c>
      <c r="AZ13">
        <v>0</v>
      </c>
      <c r="BA13">
        <v>11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CX13">
        <f>Y13*Source!I69</f>
        <v>591.89580000000001</v>
      </c>
      <c r="CY13">
        <f>AD13</f>
        <v>0</v>
      </c>
      <c r="CZ13">
        <f>AH13</f>
        <v>0</v>
      </c>
      <c r="DA13">
        <f>AL13</f>
        <v>1</v>
      </c>
      <c r="DB13">
        <v>0</v>
      </c>
    </row>
    <row r="14" spans="1:106" x14ac:dyDescent="0.2">
      <c r="A14">
        <f>ROW(Source!A69)</f>
        <v>69</v>
      </c>
      <c r="B14">
        <v>33299672</v>
      </c>
      <c r="C14">
        <v>33299832</v>
      </c>
      <c r="D14">
        <v>32906950</v>
      </c>
      <c r="E14">
        <v>1</v>
      </c>
      <c r="F14">
        <v>1</v>
      </c>
      <c r="G14">
        <v>28875167</v>
      </c>
      <c r="H14">
        <v>3</v>
      </c>
      <c r="I14" t="s">
        <v>154</v>
      </c>
      <c r="J14" t="s">
        <v>155</v>
      </c>
      <c r="K14" t="s">
        <v>156</v>
      </c>
      <c r="L14">
        <v>1346</v>
      </c>
      <c r="N14">
        <v>1009</v>
      </c>
      <c r="O14" t="s">
        <v>132</v>
      </c>
      <c r="P14" t="s">
        <v>132</v>
      </c>
      <c r="Q14">
        <v>1</v>
      </c>
      <c r="W14">
        <v>0</v>
      </c>
      <c r="X14">
        <v>1224238716</v>
      </c>
      <c r="Y14">
        <v>0.06</v>
      </c>
      <c r="AA14">
        <v>135.63</v>
      </c>
      <c r="AB14">
        <v>0</v>
      </c>
      <c r="AC14">
        <v>0</v>
      </c>
      <c r="AD14">
        <v>0</v>
      </c>
      <c r="AE14">
        <v>135.63</v>
      </c>
      <c r="AF14">
        <v>0</v>
      </c>
      <c r="AG14">
        <v>0</v>
      </c>
      <c r="AH14">
        <v>0</v>
      </c>
      <c r="AI14">
        <v>1</v>
      </c>
      <c r="AJ14">
        <v>1</v>
      </c>
      <c r="AK14">
        <v>1</v>
      </c>
      <c r="AL14">
        <v>1</v>
      </c>
      <c r="AN14">
        <v>0</v>
      </c>
      <c r="AO14">
        <v>1</v>
      </c>
      <c r="AP14">
        <v>0</v>
      </c>
      <c r="AQ14">
        <v>0</v>
      </c>
      <c r="AR14">
        <v>0</v>
      </c>
      <c r="AS14" t="s">
        <v>3</v>
      </c>
      <c r="AT14">
        <v>0.06</v>
      </c>
      <c r="AU14" t="s">
        <v>3</v>
      </c>
      <c r="AV14">
        <v>0</v>
      </c>
      <c r="AW14">
        <v>2</v>
      </c>
      <c r="AX14">
        <v>33299886</v>
      </c>
      <c r="AY14">
        <v>1</v>
      </c>
      <c r="AZ14">
        <v>0</v>
      </c>
      <c r="BA14">
        <v>12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CX14">
        <f>Y14*Source!I69</f>
        <v>2.5734599999999999</v>
      </c>
      <c r="CY14">
        <f>AA14</f>
        <v>135.63</v>
      </c>
      <c r="CZ14">
        <f>AE14</f>
        <v>135.63</v>
      </c>
      <c r="DA14">
        <f>AI14</f>
        <v>1</v>
      </c>
      <c r="DB14">
        <v>0</v>
      </c>
    </row>
    <row r="15" spans="1:106" x14ac:dyDescent="0.2">
      <c r="A15">
        <f>ROW(Source!A70)</f>
        <v>70</v>
      </c>
      <c r="B15">
        <v>33299672</v>
      </c>
      <c r="C15">
        <v>33299837</v>
      </c>
      <c r="D15">
        <v>32893498</v>
      </c>
      <c r="E15">
        <v>28875167</v>
      </c>
      <c r="F15">
        <v>1</v>
      </c>
      <c r="G15">
        <v>28875167</v>
      </c>
      <c r="H15">
        <v>1</v>
      </c>
      <c r="I15" t="s">
        <v>37</v>
      </c>
      <c r="J15" t="s">
        <v>3</v>
      </c>
      <c r="K15" t="s">
        <v>152</v>
      </c>
      <c r="L15">
        <v>1191</v>
      </c>
      <c r="N15">
        <v>1013</v>
      </c>
      <c r="O15" t="s">
        <v>39</v>
      </c>
      <c r="P15" t="s">
        <v>39</v>
      </c>
      <c r="Q15">
        <v>1</v>
      </c>
      <c r="W15">
        <v>0</v>
      </c>
      <c r="X15">
        <v>476480486</v>
      </c>
      <c r="Y15">
        <v>10.06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1</v>
      </c>
      <c r="AJ15">
        <v>1</v>
      </c>
      <c r="AK15">
        <v>1</v>
      </c>
      <c r="AL15">
        <v>1</v>
      </c>
      <c r="AN15">
        <v>0</v>
      </c>
      <c r="AO15">
        <v>1</v>
      </c>
      <c r="AP15">
        <v>0</v>
      </c>
      <c r="AQ15">
        <v>0</v>
      </c>
      <c r="AR15">
        <v>0</v>
      </c>
      <c r="AS15" t="s">
        <v>3</v>
      </c>
      <c r="AT15">
        <v>10.06</v>
      </c>
      <c r="AU15" t="s">
        <v>3</v>
      </c>
      <c r="AV15">
        <v>1</v>
      </c>
      <c r="AW15">
        <v>2</v>
      </c>
      <c r="AX15">
        <v>33299887</v>
      </c>
      <c r="AY15">
        <v>1</v>
      </c>
      <c r="AZ15">
        <v>0</v>
      </c>
      <c r="BA15">
        <v>13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CX15">
        <f>Y15*Source!I70</f>
        <v>1410.412</v>
      </c>
      <c r="CY15">
        <f>AD15</f>
        <v>0</v>
      </c>
      <c r="CZ15">
        <f>AH15</f>
        <v>0</v>
      </c>
      <c r="DA15">
        <f>AL15</f>
        <v>1</v>
      </c>
      <c r="DB15">
        <v>0</v>
      </c>
    </row>
    <row r="16" spans="1:106" x14ac:dyDescent="0.2">
      <c r="A16">
        <f>ROW(Source!A70)</f>
        <v>70</v>
      </c>
      <c r="B16">
        <v>33299672</v>
      </c>
      <c r="C16">
        <v>33299837</v>
      </c>
      <c r="D16">
        <v>32904498</v>
      </c>
      <c r="E16">
        <v>1</v>
      </c>
      <c r="F16">
        <v>1</v>
      </c>
      <c r="G16">
        <v>28875167</v>
      </c>
      <c r="H16">
        <v>2</v>
      </c>
      <c r="I16" t="s">
        <v>122</v>
      </c>
      <c r="J16" t="s">
        <v>124</v>
      </c>
      <c r="K16" t="s">
        <v>153</v>
      </c>
      <c r="L16">
        <v>1368</v>
      </c>
      <c r="N16">
        <v>1011</v>
      </c>
      <c r="O16" t="s">
        <v>43</v>
      </c>
      <c r="P16" t="s">
        <v>43</v>
      </c>
      <c r="Q16">
        <v>1</v>
      </c>
      <c r="W16">
        <v>0</v>
      </c>
      <c r="X16">
        <v>-2072038702</v>
      </c>
      <c r="Y16">
        <v>10.06</v>
      </c>
      <c r="AA16">
        <v>0</v>
      </c>
      <c r="AB16">
        <v>841.74</v>
      </c>
      <c r="AC16">
        <v>355.81</v>
      </c>
      <c r="AD16">
        <v>0</v>
      </c>
      <c r="AE16">
        <v>0</v>
      </c>
      <c r="AF16">
        <v>841.74</v>
      </c>
      <c r="AG16">
        <v>355.81</v>
      </c>
      <c r="AH16">
        <v>0</v>
      </c>
      <c r="AI16">
        <v>1</v>
      </c>
      <c r="AJ16">
        <v>1</v>
      </c>
      <c r="AK16">
        <v>1</v>
      </c>
      <c r="AL16">
        <v>1</v>
      </c>
      <c r="AN16">
        <v>0</v>
      </c>
      <c r="AO16">
        <v>1</v>
      </c>
      <c r="AP16">
        <v>0</v>
      </c>
      <c r="AQ16">
        <v>0</v>
      </c>
      <c r="AR16">
        <v>0</v>
      </c>
      <c r="AS16" t="s">
        <v>3</v>
      </c>
      <c r="AT16">
        <v>10.06</v>
      </c>
      <c r="AU16" t="s">
        <v>3</v>
      </c>
      <c r="AV16">
        <v>0</v>
      </c>
      <c r="AW16">
        <v>2</v>
      </c>
      <c r="AX16">
        <v>33299888</v>
      </c>
      <c r="AY16">
        <v>1</v>
      </c>
      <c r="AZ16">
        <v>0</v>
      </c>
      <c r="BA16">
        <v>14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CX16">
        <f>Y16*Source!I70</f>
        <v>1410.412</v>
      </c>
      <c r="CY16">
        <f>AB16</f>
        <v>841.74</v>
      </c>
      <c r="CZ16">
        <f>AF16</f>
        <v>841.74</v>
      </c>
      <c r="DA16">
        <f>AJ16</f>
        <v>1</v>
      </c>
      <c r="DB16">
        <v>0</v>
      </c>
    </row>
    <row r="17" spans="1:106" x14ac:dyDescent="0.2">
      <c r="A17">
        <f>ROW(Source!A70)</f>
        <v>70</v>
      </c>
      <c r="B17">
        <v>33299672</v>
      </c>
      <c r="C17">
        <v>33299837</v>
      </c>
      <c r="D17">
        <v>32906950</v>
      </c>
      <c r="E17">
        <v>1</v>
      </c>
      <c r="F17">
        <v>1</v>
      </c>
      <c r="G17">
        <v>28875167</v>
      </c>
      <c r="H17">
        <v>3</v>
      </c>
      <c r="I17" t="s">
        <v>154</v>
      </c>
      <c r="J17" t="s">
        <v>155</v>
      </c>
      <c r="K17" t="s">
        <v>156</v>
      </c>
      <c r="L17">
        <v>1346</v>
      </c>
      <c r="N17">
        <v>1009</v>
      </c>
      <c r="O17" t="s">
        <v>132</v>
      </c>
      <c r="P17" t="s">
        <v>132</v>
      </c>
      <c r="Q17">
        <v>1</v>
      </c>
      <c r="W17">
        <v>0</v>
      </c>
      <c r="X17">
        <v>1224238716</v>
      </c>
      <c r="Y17">
        <v>0.05</v>
      </c>
      <c r="AA17">
        <v>135.63</v>
      </c>
      <c r="AB17">
        <v>0</v>
      </c>
      <c r="AC17">
        <v>0</v>
      </c>
      <c r="AD17">
        <v>0</v>
      </c>
      <c r="AE17">
        <v>135.63</v>
      </c>
      <c r="AF17">
        <v>0</v>
      </c>
      <c r="AG17">
        <v>0</v>
      </c>
      <c r="AH17">
        <v>0</v>
      </c>
      <c r="AI17">
        <v>1</v>
      </c>
      <c r="AJ17">
        <v>1</v>
      </c>
      <c r="AK17">
        <v>1</v>
      </c>
      <c r="AL17">
        <v>1</v>
      </c>
      <c r="AN17">
        <v>0</v>
      </c>
      <c r="AO17">
        <v>1</v>
      </c>
      <c r="AP17">
        <v>0</v>
      </c>
      <c r="AQ17">
        <v>0</v>
      </c>
      <c r="AR17">
        <v>0</v>
      </c>
      <c r="AS17" t="s">
        <v>3</v>
      </c>
      <c r="AT17">
        <v>0.05</v>
      </c>
      <c r="AU17" t="s">
        <v>3</v>
      </c>
      <c r="AV17">
        <v>0</v>
      </c>
      <c r="AW17">
        <v>2</v>
      </c>
      <c r="AX17">
        <v>33299889</v>
      </c>
      <c r="AY17">
        <v>1</v>
      </c>
      <c r="AZ17">
        <v>0</v>
      </c>
      <c r="BA17">
        <v>15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CX17">
        <f>Y17*Source!I70</f>
        <v>7.01</v>
      </c>
      <c r="CY17">
        <f>AA17</f>
        <v>135.63</v>
      </c>
      <c r="CZ17">
        <f>AE17</f>
        <v>135.63</v>
      </c>
      <c r="DA17">
        <f>AI17</f>
        <v>1</v>
      </c>
      <c r="DB17">
        <v>0</v>
      </c>
    </row>
    <row r="18" spans="1:106" x14ac:dyDescent="0.2">
      <c r="A18">
        <f>ROW(Source!A70)</f>
        <v>70</v>
      </c>
      <c r="B18">
        <v>33299672</v>
      </c>
      <c r="C18">
        <v>33299837</v>
      </c>
      <c r="D18">
        <v>32906947</v>
      </c>
      <c r="E18">
        <v>1</v>
      </c>
      <c r="F18">
        <v>1</v>
      </c>
      <c r="G18">
        <v>28875167</v>
      </c>
      <c r="H18">
        <v>3</v>
      </c>
      <c r="I18" t="s">
        <v>130</v>
      </c>
      <c r="J18" t="s">
        <v>133</v>
      </c>
      <c r="K18" t="s">
        <v>131</v>
      </c>
      <c r="L18">
        <v>1346</v>
      </c>
      <c r="N18">
        <v>1009</v>
      </c>
      <c r="O18" t="s">
        <v>132</v>
      </c>
      <c r="P18" t="s">
        <v>132</v>
      </c>
      <c r="Q18">
        <v>1</v>
      </c>
      <c r="W18">
        <v>0</v>
      </c>
      <c r="X18">
        <v>-613561335</v>
      </c>
      <c r="Y18">
        <v>7.0000000000000007E-2</v>
      </c>
      <c r="AA18">
        <v>28.66</v>
      </c>
      <c r="AB18">
        <v>0</v>
      </c>
      <c r="AC18">
        <v>0</v>
      </c>
      <c r="AD18">
        <v>0</v>
      </c>
      <c r="AE18">
        <v>28.66</v>
      </c>
      <c r="AF18">
        <v>0</v>
      </c>
      <c r="AG18">
        <v>0</v>
      </c>
      <c r="AH18">
        <v>0</v>
      </c>
      <c r="AI18">
        <v>1</v>
      </c>
      <c r="AJ18">
        <v>1</v>
      </c>
      <c r="AK18">
        <v>1</v>
      </c>
      <c r="AL18">
        <v>1</v>
      </c>
      <c r="AN18">
        <v>0</v>
      </c>
      <c r="AO18">
        <v>1</v>
      </c>
      <c r="AP18">
        <v>0</v>
      </c>
      <c r="AQ18">
        <v>0</v>
      </c>
      <c r="AR18">
        <v>0</v>
      </c>
      <c r="AS18" t="s">
        <v>3</v>
      </c>
      <c r="AT18">
        <v>7.0000000000000007E-2</v>
      </c>
      <c r="AU18" t="s">
        <v>3</v>
      </c>
      <c r="AV18">
        <v>0</v>
      </c>
      <c r="AW18">
        <v>2</v>
      </c>
      <c r="AX18">
        <v>33299890</v>
      </c>
      <c r="AY18">
        <v>1</v>
      </c>
      <c r="AZ18">
        <v>0</v>
      </c>
      <c r="BA18">
        <v>16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CX18">
        <f>Y18*Source!I70</f>
        <v>9.8140000000000001</v>
      </c>
      <c r="CY18">
        <f>AA18</f>
        <v>28.66</v>
      </c>
      <c r="CZ18">
        <f>AE18</f>
        <v>28.66</v>
      </c>
      <c r="DA18">
        <f>AI18</f>
        <v>1</v>
      </c>
      <c r="DB18">
        <v>0</v>
      </c>
    </row>
    <row r="19" spans="1:106" x14ac:dyDescent="0.2">
      <c r="A19">
        <f>ROW(Source!A71)</f>
        <v>71</v>
      </c>
      <c r="B19">
        <v>33299672</v>
      </c>
      <c r="C19">
        <v>33299846</v>
      </c>
      <c r="D19">
        <v>30477833</v>
      </c>
      <c r="E19">
        <v>30477829</v>
      </c>
      <c r="F19">
        <v>1</v>
      </c>
      <c r="G19">
        <v>28875167</v>
      </c>
      <c r="H19">
        <v>1</v>
      </c>
      <c r="I19" t="s">
        <v>37</v>
      </c>
      <c r="J19" t="s">
        <v>3</v>
      </c>
      <c r="K19" t="s">
        <v>114</v>
      </c>
      <c r="L19">
        <v>1191</v>
      </c>
      <c r="N19">
        <v>1013</v>
      </c>
      <c r="O19" t="s">
        <v>39</v>
      </c>
      <c r="P19" t="s">
        <v>39</v>
      </c>
      <c r="Q19">
        <v>1</v>
      </c>
      <c r="W19">
        <v>0</v>
      </c>
      <c r="X19">
        <v>-859335633</v>
      </c>
      <c r="Y19">
        <v>0.42</v>
      </c>
      <c r="AA19">
        <v>0</v>
      </c>
      <c r="AB19">
        <v>0</v>
      </c>
      <c r="AC19">
        <v>0</v>
      </c>
      <c r="AD19">
        <v>229.12</v>
      </c>
      <c r="AE19">
        <v>0</v>
      </c>
      <c r="AF19">
        <v>0</v>
      </c>
      <c r="AG19">
        <v>0</v>
      </c>
      <c r="AH19">
        <v>229.12</v>
      </c>
      <c r="AI19">
        <v>1</v>
      </c>
      <c r="AJ19">
        <v>1</v>
      </c>
      <c r="AK19">
        <v>1</v>
      </c>
      <c r="AL19">
        <v>1</v>
      </c>
      <c r="AN19">
        <v>0</v>
      </c>
      <c r="AO19">
        <v>0</v>
      </c>
      <c r="AP19">
        <v>0</v>
      </c>
      <c r="AQ19">
        <v>0</v>
      </c>
      <c r="AR19">
        <v>0</v>
      </c>
      <c r="AS19" t="s">
        <v>3</v>
      </c>
      <c r="AT19">
        <v>0.42</v>
      </c>
      <c r="AU19" t="s">
        <v>3</v>
      </c>
      <c r="AV19">
        <v>1</v>
      </c>
      <c r="AW19">
        <v>1</v>
      </c>
      <c r="AX19">
        <v>-1</v>
      </c>
      <c r="AY19">
        <v>0</v>
      </c>
      <c r="AZ19">
        <v>0</v>
      </c>
      <c r="BA19" t="s">
        <v>3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CX19">
        <f>Y19*Source!I71</f>
        <v>408.24</v>
      </c>
      <c r="CY19">
        <f>AD19</f>
        <v>229.12</v>
      </c>
      <c r="CZ19">
        <f>AH19</f>
        <v>229.12</v>
      </c>
      <c r="DA19">
        <f>AL19</f>
        <v>1</v>
      </c>
      <c r="DB19">
        <v>0</v>
      </c>
    </row>
    <row r="20" spans="1:106" x14ac:dyDescent="0.2">
      <c r="A20">
        <f>ROW(Source!A71)</f>
        <v>71</v>
      </c>
      <c r="B20">
        <v>33299672</v>
      </c>
      <c r="C20">
        <v>33299846</v>
      </c>
      <c r="D20">
        <v>30477833</v>
      </c>
      <c r="E20">
        <v>30477829</v>
      </c>
      <c r="F20">
        <v>1</v>
      </c>
      <c r="G20">
        <v>28875167</v>
      </c>
      <c r="H20">
        <v>1</v>
      </c>
      <c r="I20" t="s">
        <v>37</v>
      </c>
      <c r="J20" t="s">
        <v>3</v>
      </c>
      <c r="K20" t="s">
        <v>38</v>
      </c>
      <c r="L20">
        <v>1191</v>
      </c>
      <c r="N20">
        <v>1013</v>
      </c>
      <c r="O20" t="s">
        <v>39</v>
      </c>
      <c r="P20" t="s">
        <v>39</v>
      </c>
      <c r="Q20">
        <v>1</v>
      </c>
      <c r="W20">
        <v>0</v>
      </c>
      <c r="X20">
        <v>-2006313420</v>
      </c>
      <c r="Y20">
        <v>0.84</v>
      </c>
      <c r="AA20">
        <v>0</v>
      </c>
      <c r="AB20">
        <v>0</v>
      </c>
      <c r="AC20">
        <v>0</v>
      </c>
      <c r="AD20">
        <v>199.36</v>
      </c>
      <c r="AE20">
        <v>0</v>
      </c>
      <c r="AF20">
        <v>0</v>
      </c>
      <c r="AG20">
        <v>0</v>
      </c>
      <c r="AH20">
        <v>199.36</v>
      </c>
      <c r="AI20">
        <v>1</v>
      </c>
      <c r="AJ20">
        <v>1</v>
      </c>
      <c r="AK20">
        <v>1</v>
      </c>
      <c r="AL20">
        <v>1</v>
      </c>
      <c r="AN20">
        <v>0</v>
      </c>
      <c r="AO20">
        <v>0</v>
      </c>
      <c r="AP20">
        <v>0</v>
      </c>
      <c r="AQ20">
        <v>0</v>
      </c>
      <c r="AR20">
        <v>0</v>
      </c>
      <c r="AS20" t="s">
        <v>3</v>
      </c>
      <c r="AT20">
        <v>0.84</v>
      </c>
      <c r="AU20" t="s">
        <v>3</v>
      </c>
      <c r="AV20">
        <v>1</v>
      </c>
      <c r="AW20">
        <v>1</v>
      </c>
      <c r="AX20">
        <v>-1</v>
      </c>
      <c r="AY20">
        <v>0</v>
      </c>
      <c r="AZ20">
        <v>0</v>
      </c>
      <c r="BA20" t="s">
        <v>3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CX20">
        <f>Y20*Source!I71</f>
        <v>816.48</v>
      </c>
      <c r="CY20">
        <f>AD20</f>
        <v>199.36</v>
      </c>
      <c r="CZ20">
        <f>AH20</f>
        <v>199.36</v>
      </c>
      <c r="DA20">
        <f>AL20</f>
        <v>1</v>
      </c>
      <c r="DB20">
        <v>0</v>
      </c>
    </row>
    <row r="21" spans="1:106" x14ac:dyDescent="0.2">
      <c r="A21">
        <f>ROW(Source!A71)</f>
        <v>71</v>
      </c>
      <c r="B21">
        <v>33299672</v>
      </c>
      <c r="C21">
        <v>33299846</v>
      </c>
      <c r="D21">
        <v>30498704</v>
      </c>
      <c r="E21">
        <v>1</v>
      </c>
      <c r="F21">
        <v>1</v>
      </c>
      <c r="G21">
        <v>28875167</v>
      </c>
      <c r="H21">
        <v>2</v>
      </c>
      <c r="I21" t="s">
        <v>126</v>
      </c>
      <c r="J21" t="s">
        <v>128</v>
      </c>
      <c r="K21" t="s">
        <v>127</v>
      </c>
      <c r="L21">
        <v>1368</v>
      </c>
      <c r="N21">
        <v>1011</v>
      </c>
      <c r="O21" t="s">
        <v>43</v>
      </c>
      <c r="P21" t="s">
        <v>43</v>
      </c>
      <c r="Q21">
        <v>1</v>
      </c>
      <c r="W21">
        <v>0</v>
      </c>
      <c r="X21">
        <v>-276776398</v>
      </c>
      <c r="Y21">
        <v>0.42</v>
      </c>
      <c r="AA21">
        <v>0</v>
      </c>
      <c r="AB21">
        <v>720.17</v>
      </c>
      <c r="AC21">
        <v>380.79</v>
      </c>
      <c r="AD21">
        <v>0</v>
      </c>
      <c r="AE21">
        <v>0</v>
      </c>
      <c r="AF21">
        <v>720.17</v>
      </c>
      <c r="AG21">
        <v>380.79</v>
      </c>
      <c r="AH21">
        <v>0</v>
      </c>
      <c r="AI21">
        <v>1</v>
      </c>
      <c r="AJ21">
        <v>1</v>
      </c>
      <c r="AK21">
        <v>1</v>
      </c>
      <c r="AL21">
        <v>1</v>
      </c>
      <c r="AN21">
        <v>0</v>
      </c>
      <c r="AO21">
        <v>0</v>
      </c>
      <c r="AP21">
        <v>0</v>
      </c>
      <c r="AQ21">
        <v>0</v>
      </c>
      <c r="AR21">
        <v>0</v>
      </c>
      <c r="AS21" t="s">
        <v>3</v>
      </c>
      <c r="AT21">
        <v>0.42</v>
      </c>
      <c r="AU21" t="s">
        <v>3</v>
      </c>
      <c r="AV21">
        <v>0</v>
      </c>
      <c r="AW21">
        <v>1</v>
      </c>
      <c r="AX21">
        <v>-1</v>
      </c>
      <c r="AY21">
        <v>0</v>
      </c>
      <c r="AZ21">
        <v>0</v>
      </c>
      <c r="BA21" t="s">
        <v>3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CX21">
        <f>Y21*Source!I71</f>
        <v>408.24</v>
      </c>
      <c r="CY21">
        <f>AB21</f>
        <v>720.17</v>
      </c>
      <c r="CZ21">
        <f>AF21</f>
        <v>720.17</v>
      </c>
      <c r="DA21">
        <f>AJ21</f>
        <v>1</v>
      </c>
      <c r="DB21">
        <v>0</v>
      </c>
    </row>
    <row r="22" spans="1:106" x14ac:dyDescent="0.2">
      <c r="A22">
        <f>ROW(Source!A71)</f>
        <v>71</v>
      </c>
      <c r="B22">
        <v>33299672</v>
      </c>
      <c r="C22">
        <v>33299846</v>
      </c>
      <c r="D22">
        <v>30499252</v>
      </c>
      <c r="E22">
        <v>1</v>
      </c>
      <c r="F22">
        <v>1</v>
      </c>
      <c r="G22">
        <v>28875167</v>
      </c>
      <c r="H22">
        <v>2</v>
      </c>
      <c r="I22" t="s">
        <v>122</v>
      </c>
      <c r="J22" t="s">
        <v>124</v>
      </c>
      <c r="K22" t="s">
        <v>123</v>
      </c>
      <c r="L22">
        <v>1368</v>
      </c>
      <c r="N22">
        <v>1011</v>
      </c>
      <c r="O22" t="s">
        <v>43</v>
      </c>
      <c r="P22" t="s">
        <v>43</v>
      </c>
      <c r="Q22">
        <v>1</v>
      </c>
      <c r="W22">
        <v>0</v>
      </c>
      <c r="X22">
        <v>293052103</v>
      </c>
      <c r="Y22">
        <v>0.42</v>
      </c>
      <c r="AA22">
        <v>0</v>
      </c>
      <c r="AB22">
        <v>841.74</v>
      </c>
      <c r="AC22">
        <v>355.81</v>
      </c>
      <c r="AD22">
        <v>0</v>
      </c>
      <c r="AE22">
        <v>0</v>
      </c>
      <c r="AF22">
        <v>841.74</v>
      </c>
      <c r="AG22">
        <v>355.81</v>
      </c>
      <c r="AH22">
        <v>0</v>
      </c>
      <c r="AI22">
        <v>1</v>
      </c>
      <c r="AJ22">
        <v>1</v>
      </c>
      <c r="AK22">
        <v>1</v>
      </c>
      <c r="AL22">
        <v>1</v>
      </c>
      <c r="AN22">
        <v>0</v>
      </c>
      <c r="AO22">
        <v>0</v>
      </c>
      <c r="AP22">
        <v>0</v>
      </c>
      <c r="AQ22">
        <v>0</v>
      </c>
      <c r="AR22">
        <v>0</v>
      </c>
      <c r="AS22" t="s">
        <v>3</v>
      </c>
      <c r="AT22">
        <v>0.42</v>
      </c>
      <c r="AU22" t="s">
        <v>3</v>
      </c>
      <c r="AV22">
        <v>0</v>
      </c>
      <c r="AW22">
        <v>1</v>
      </c>
      <c r="AX22">
        <v>-1</v>
      </c>
      <c r="AY22">
        <v>0</v>
      </c>
      <c r="AZ22">
        <v>0</v>
      </c>
      <c r="BA22" t="s">
        <v>3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CX22">
        <f>Y22*Source!I71</f>
        <v>408.24</v>
      </c>
      <c r="CY22">
        <f>AB22</f>
        <v>841.74</v>
      </c>
      <c r="CZ22">
        <f>AF22</f>
        <v>841.74</v>
      </c>
      <c r="DA22">
        <f>AJ22</f>
        <v>1</v>
      </c>
      <c r="DB22">
        <v>0</v>
      </c>
    </row>
    <row r="23" spans="1:106" x14ac:dyDescent="0.2">
      <c r="A23">
        <f>ROW(Source!A71)</f>
        <v>71</v>
      </c>
      <c r="B23">
        <v>33299672</v>
      </c>
      <c r="C23">
        <v>33299846</v>
      </c>
      <c r="D23">
        <v>30499058</v>
      </c>
      <c r="E23">
        <v>1</v>
      </c>
      <c r="F23">
        <v>1</v>
      </c>
      <c r="G23">
        <v>28875167</v>
      </c>
      <c r="H23">
        <v>2</v>
      </c>
      <c r="I23" t="s">
        <v>118</v>
      </c>
      <c r="J23" t="s">
        <v>120</v>
      </c>
      <c r="K23" t="s">
        <v>119</v>
      </c>
      <c r="L23">
        <v>1368</v>
      </c>
      <c r="N23">
        <v>1011</v>
      </c>
      <c r="O23" t="s">
        <v>43</v>
      </c>
      <c r="P23" t="s">
        <v>43</v>
      </c>
      <c r="Q23">
        <v>1</v>
      </c>
      <c r="W23">
        <v>0</v>
      </c>
      <c r="X23">
        <v>1543132904</v>
      </c>
      <c r="Y23">
        <v>0.42</v>
      </c>
      <c r="AA23">
        <v>0</v>
      </c>
      <c r="AB23">
        <v>981.51</v>
      </c>
      <c r="AC23">
        <v>375.98</v>
      </c>
      <c r="AD23">
        <v>0</v>
      </c>
      <c r="AE23">
        <v>0</v>
      </c>
      <c r="AF23">
        <v>981.51</v>
      </c>
      <c r="AG23">
        <v>375.98</v>
      </c>
      <c r="AH23">
        <v>0</v>
      </c>
      <c r="AI23">
        <v>1</v>
      </c>
      <c r="AJ23">
        <v>1</v>
      </c>
      <c r="AK23">
        <v>1</v>
      </c>
      <c r="AL23">
        <v>1</v>
      </c>
      <c r="AN23">
        <v>0</v>
      </c>
      <c r="AO23">
        <v>0</v>
      </c>
      <c r="AP23">
        <v>0</v>
      </c>
      <c r="AQ23">
        <v>0</v>
      </c>
      <c r="AR23">
        <v>0</v>
      </c>
      <c r="AS23" t="s">
        <v>3</v>
      </c>
      <c r="AT23">
        <v>0.42</v>
      </c>
      <c r="AU23" t="s">
        <v>3</v>
      </c>
      <c r="AV23">
        <v>0</v>
      </c>
      <c r="AW23">
        <v>1</v>
      </c>
      <c r="AX23">
        <v>-1</v>
      </c>
      <c r="AY23">
        <v>0</v>
      </c>
      <c r="AZ23">
        <v>0</v>
      </c>
      <c r="BA23" t="s">
        <v>3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CX23">
        <f>Y23*Source!I71</f>
        <v>408.24</v>
      </c>
      <c r="CY23">
        <f>AB23</f>
        <v>981.51</v>
      </c>
      <c r="CZ23">
        <f>AF23</f>
        <v>981.51</v>
      </c>
      <c r="DA23">
        <f>AJ23</f>
        <v>1</v>
      </c>
      <c r="DB23">
        <v>0</v>
      </c>
    </row>
    <row r="24" spans="1:106" x14ac:dyDescent="0.2">
      <c r="A24">
        <f>ROW(Source!A71)</f>
        <v>71</v>
      </c>
      <c r="B24">
        <v>33299672</v>
      </c>
      <c r="C24">
        <v>33299846</v>
      </c>
      <c r="D24">
        <v>30914570</v>
      </c>
      <c r="E24">
        <v>1</v>
      </c>
      <c r="F24">
        <v>1</v>
      </c>
      <c r="G24">
        <v>28875167</v>
      </c>
      <c r="H24">
        <v>3</v>
      </c>
      <c r="I24" t="s">
        <v>130</v>
      </c>
      <c r="J24" t="s">
        <v>133</v>
      </c>
      <c r="K24" t="s">
        <v>131</v>
      </c>
      <c r="L24">
        <v>1346</v>
      </c>
      <c r="N24">
        <v>1009</v>
      </c>
      <c r="O24" t="s">
        <v>132</v>
      </c>
      <c r="P24" t="s">
        <v>132</v>
      </c>
      <c r="Q24">
        <v>1</v>
      </c>
      <c r="W24">
        <v>0</v>
      </c>
      <c r="X24">
        <v>187315693</v>
      </c>
      <c r="Y24">
        <v>0.02</v>
      </c>
      <c r="AA24">
        <v>28.66</v>
      </c>
      <c r="AB24">
        <v>0</v>
      </c>
      <c r="AC24">
        <v>0</v>
      </c>
      <c r="AD24">
        <v>0</v>
      </c>
      <c r="AE24">
        <v>28.66</v>
      </c>
      <c r="AF24">
        <v>0</v>
      </c>
      <c r="AG24">
        <v>0</v>
      </c>
      <c r="AH24">
        <v>0</v>
      </c>
      <c r="AI24">
        <v>1</v>
      </c>
      <c r="AJ24">
        <v>1</v>
      </c>
      <c r="AK24">
        <v>1</v>
      </c>
      <c r="AL24">
        <v>1</v>
      </c>
      <c r="AN24">
        <v>0</v>
      </c>
      <c r="AO24">
        <v>0</v>
      </c>
      <c r="AP24">
        <v>0</v>
      </c>
      <c r="AQ24">
        <v>0</v>
      </c>
      <c r="AR24">
        <v>0</v>
      </c>
      <c r="AS24" t="s">
        <v>3</v>
      </c>
      <c r="AT24">
        <v>0.02</v>
      </c>
      <c r="AU24" t="s">
        <v>3</v>
      </c>
      <c r="AV24">
        <v>0</v>
      </c>
      <c r="AW24">
        <v>1</v>
      </c>
      <c r="AX24">
        <v>-1</v>
      </c>
      <c r="AY24">
        <v>0</v>
      </c>
      <c r="AZ24">
        <v>0</v>
      </c>
      <c r="BA24" t="s">
        <v>3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CX24">
        <f>Y24*Source!I71</f>
        <v>19.440000000000001</v>
      </c>
      <c r="CY24">
        <f>AA24</f>
        <v>28.66</v>
      </c>
      <c r="CZ24">
        <f>AE24</f>
        <v>28.66</v>
      </c>
      <c r="DA24">
        <f>AI24</f>
        <v>1</v>
      </c>
      <c r="DB24">
        <v>0</v>
      </c>
    </row>
    <row r="25" spans="1:106" x14ac:dyDescent="0.2">
      <c r="A25">
        <f>ROW(Source!A78)</f>
        <v>78</v>
      </c>
      <c r="B25">
        <v>33299672</v>
      </c>
      <c r="C25">
        <v>33299859</v>
      </c>
      <c r="D25">
        <v>32893498</v>
      </c>
      <c r="E25">
        <v>28875167</v>
      </c>
      <c r="F25">
        <v>1</v>
      </c>
      <c r="G25">
        <v>28875167</v>
      </c>
      <c r="H25">
        <v>1</v>
      </c>
      <c r="I25" t="s">
        <v>37</v>
      </c>
      <c r="J25" t="s">
        <v>3</v>
      </c>
      <c r="K25" t="s">
        <v>152</v>
      </c>
      <c r="L25">
        <v>1191</v>
      </c>
      <c r="N25">
        <v>1013</v>
      </c>
      <c r="O25" t="s">
        <v>39</v>
      </c>
      <c r="P25" t="s">
        <v>39</v>
      </c>
      <c r="Q25">
        <v>1</v>
      </c>
      <c r="W25">
        <v>0</v>
      </c>
      <c r="X25">
        <v>476480486</v>
      </c>
      <c r="Y25">
        <v>4.32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1</v>
      </c>
      <c r="AJ25">
        <v>1</v>
      </c>
      <c r="AK25">
        <v>1</v>
      </c>
      <c r="AL25">
        <v>1</v>
      </c>
      <c r="AN25">
        <v>0</v>
      </c>
      <c r="AO25">
        <v>1</v>
      </c>
      <c r="AP25">
        <v>0</v>
      </c>
      <c r="AQ25">
        <v>0</v>
      </c>
      <c r="AR25">
        <v>0</v>
      </c>
      <c r="AS25" t="s">
        <v>3</v>
      </c>
      <c r="AT25">
        <v>4.32</v>
      </c>
      <c r="AU25" t="s">
        <v>3</v>
      </c>
      <c r="AV25">
        <v>1</v>
      </c>
      <c r="AW25">
        <v>2</v>
      </c>
      <c r="AX25">
        <v>33299891</v>
      </c>
      <c r="AY25">
        <v>1</v>
      </c>
      <c r="AZ25">
        <v>0</v>
      </c>
      <c r="BA25">
        <v>17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CX25">
        <f>Y25*Source!I78</f>
        <v>648</v>
      </c>
      <c r="CY25">
        <f>AD25</f>
        <v>0</v>
      </c>
      <c r="CZ25">
        <f>AH25</f>
        <v>0</v>
      </c>
      <c r="DA25">
        <f>AL25</f>
        <v>1</v>
      </c>
      <c r="DB25">
        <v>0</v>
      </c>
    </row>
    <row r="26" spans="1:106" x14ac:dyDescent="0.2">
      <c r="A26">
        <f>ROW(Source!A78)</f>
        <v>78</v>
      </c>
      <c r="B26">
        <v>33299672</v>
      </c>
      <c r="C26">
        <v>33299859</v>
      </c>
      <c r="D26">
        <v>32895092</v>
      </c>
      <c r="E26">
        <v>28875167</v>
      </c>
      <c r="F26">
        <v>1</v>
      </c>
      <c r="G26">
        <v>28875167</v>
      </c>
      <c r="H26">
        <v>3</v>
      </c>
      <c r="I26" t="s">
        <v>162</v>
      </c>
      <c r="J26" t="s">
        <v>3</v>
      </c>
      <c r="K26" t="s">
        <v>163</v>
      </c>
      <c r="L26">
        <v>1346</v>
      </c>
      <c r="N26">
        <v>1009</v>
      </c>
      <c r="O26" t="s">
        <v>132</v>
      </c>
      <c r="P26" t="s">
        <v>132</v>
      </c>
      <c r="Q26">
        <v>1</v>
      </c>
      <c r="W26">
        <v>0</v>
      </c>
      <c r="X26">
        <v>-386688568</v>
      </c>
      <c r="Y26">
        <v>0.05</v>
      </c>
      <c r="AA26">
        <v>62.43</v>
      </c>
      <c r="AB26">
        <v>0</v>
      </c>
      <c r="AC26">
        <v>0</v>
      </c>
      <c r="AD26">
        <v>0</v>
      </c>
      <c r="AE26">
        <v>62.4298</v>
      </c>
      <c r="AF26">
        <v>0</v>
      </c>
      <c r="AG26">
        <v>0</v>
      </c>
      <c r="AH26">
        <v>0</v>
      </c>
      <c r="AI26">
        <v>1</v>
      </c>
      <c r="AJ26">
        <v>1</v>
      </c>
      <c r="AK26">
        <v>1</v>
      </c>
      <c r="AL26">
        <v>1</v>
      </c>
      <c r="AN26">
        <v>0</v>
      </c>
      <c r="AO26">
        <v>1</v>
      </c>
      <c r="AP26">
        <v>0</v>
      </c>
      <c r="AQ26">
        <v>0</v>
      </c>
      <c r="AR26">
        <v>0</v>
      </c>
      <c r="AS26" t="s">
        <v>3</v>
      </c>
      <c r="AT26">
        <v>0.05</v>
      </c>
      <c r="AU26" t="s">
        <v>3</v>
      </c>
      <c r="AV26">
        <v>0</v>
      </c>
      <c r="AW26">
        <v>2</v>
      </c>
      <c r="AX26">
        <v>33299894</v>
      </c>
      <c r="AY26">
        <v>1</v>
      </c>
      <c r="AZ26">
        <v>0</v>
      </c>
      <c r="BA26">
        <v>18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CX26">
        <f>Y26*Source!I78</f>
        <v>7.5</v>
      </c>
      <c r="CY26">
        <f>AA26</f>
        <v>62.43</v>
      </c>
      <c r="CZ26">
        <f>AE26</f>
        <v>62.4298</v>
      </c>
      <c r="DA26">
        <f>AI26</f>
        <v>1</v>
      </c>
      <c r="DB26">
        <v>0</v>
      </c>
    </row>
    <row r="27" spans="1:106" x14ac:dyDescent="0.2">
      <c r="A27">
        <f>ROW(Source!A78)</f>
        <v>78</v>
      </c>
      <c r="B27">
        <v>33299672</v>
      </c>
      <c r="C27">
        <v>33299859</v>
      </c>
      <c r="D27">
        <v>32906947</v>
      </c>
      <c r="E27">
        <v>1</v>
      </c>
      <c r="F27">
        <v>1</v>
      </c>
      <c r="G27">
        <v>28875167</v>
      </c>
      <c r="H27">
        <v>3</v>
      </c>
      <c r="I27" t="s">
        <v>130</v>
      </c>
      <c r="J27" t="s">
        <v>133</v>
      </c>
      <c r="K27" t="s">
        <v>131</v>
      </c>
      <c r="L27">
        <v>1346</v>
      </c>
      <c r="N27">
        <v>1009</v>
      </c>
      <c r="O27" t="s">
        <v>132</v>
      </c>
      <c r="P27" t="s">
        <v>132</v>
      </c>
      <c r="Q27">
        <v>1</v>
      </c>
      <c r="W27">
        <v>0</v>
      </c>
      <c r="X27">
        <v>-613561335</v>
      </c>
      <c r="Y27">
        <v>0.1</v>
      </c>
      <c r="AA27">
        <v>28.66</v>
      </c>
      <c r="AB27">
        <v>0</v>
      </c>
      <c r="AC27">
        <v>0</v>
      </c>
      <c r="AD27">
        <v>0</v>
      </c>
      <c r="AE27">
        <v>28.66</v>
      </c>
      <c r="AF27">
        <v>0</v>
      </c>
      <c r="AG27">
        <v>0</v>
      </c>
      <c r="AH27">
        <v>0</v>
      </c>
      <c r="AI27">
        <v>1</v>
      </c>
      <c r="AJ27">
        <v>1</v>
      </c>
      <c r="AK27">
        <v>1</v>
      </c>
      <c r="AL27">
        <v>1</v>
      </c>
      <c r="AN27">
        <v>0</v>
      </c>
      <c r="AO27">
        <v>1</v>
      </c>
      <c r="AP27">
        <v>0</v>
      </c>
      <c r="AQ27">
        <v>0</v>
      </c>
      <c r="AR27">
        <v>0</v>
      </c>
      <c r="AS27" t="s">
        <v>3</v>
      </c>
      <c r="AT27">
        <v>0.1</v>
      </c>
      <c r="AU27" t="s">
        <v>3</v>
      </c>
      <c r="AV27">
        <v>0</v>
      </c>
      <c r="AW27">
        <v>2</v>
      </c>
      <c r="AX27">
        <v>33299892</v>
      </c>
      <c r="AY27">
        <v>1</v>
      </c>
      <c r="AZ27">
        <v>0</v>
      </c>
      <c r="BA27">
        <v>19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CX27">
        <f>Y27*Source!I78</f>
        <v>15</v>
      </c>
      <c r="CY27">
        <f>AA27</f>
        <v>28.66</v>
      </c>
      <c r="CZ27">
        <f>AE27</f>
        <v>28.66</v>
      </c>
      <c r="DA27">
        <f>AI27</f>
        <v>1</v>
      </c>
      <c r="DB27">
        <v>0</v>
      </c>
    </row>
    <row r="28" spans="1:106" x14ac:dyDescent="0.2">
      <c r="A28">
        <f>ROW(Source!A78)</f>
        <v>78</v>
      </c>
      <c r="B28">
        <v>33299672</v>
      </c>
      <c r="C28">
        <v>33299859</v>
      </c>
      <c r="D28">
        <v>32907124</v>
      </c>
      <c r="E28">
        <v>1</v>
      </c>
      <c r="F28">
        <v>1</v>
      </c>
      <c r="G28">
        <v>28875167</v>
      </c>
      <c r="H28">
        <v>3</v>
      </c>
      <c r="I28" t="s">
        <v>164</v>
      </c>
      <c r="J28" t="s">
        <v>165</v>
      </c>
      <c r="K28" t="s">
        <v>166</v>
      </c>
      <c r="L28">
        <v>1339</v>
      </c>
      <c r="N28">
        <v>1007</v>
      </c>
      <c r="O28" t="s">
        <v>167</v>
      </c>
      <c r="P28" t="s">
        <v>167</v>
      </c>
      <c r="Q28">
        <v>1</v>
      </c>
      <c r="W28">
        <v>0</v>
      </c>
      <c r="X28">
        <v>1653821073</v>
      </c>
      <c r="Y28">
        <v>1E-3</v>
      </c>
      <c r="AA28">
        <v>29.98</v>
      </c>
      <c r="AB28">
        <v>0</v>
      </c>
      <c r="AC28">
        <v>0</v>
      </c>
      <c r="AD28">
        <v>0</v>
      </c>
      <c r="AE28">
        <v>29.98</v>
      </c>
      <c r="AF28">
        <v>0</v>
      </c>
      <c r="AG28">
        <v>0</v>
      </c>
      <c r="AH28">
        <v>0</v>
      </c>
      <c r="AI28">
        <v>1</v>
      </c>
      <c r="AJ28">
        <v>1</v>
      </c>
      <c r="AK28">
        <v>1</v>
      </c>
      <c r="AL28">
        <v>1</v>
      </c>
      <c r="AN28">
        <v>0</v>
      </c>
      <c r="AO28">
        <v>1</v>
      </c>
      <c r="AP28">
        <v>0</v>
      </c>
      <c r="AQ28">
        <v>0</v>
      </c>
      <c r="AR28">
        <v>0</v>
      </c>
      <c r="AS28" t="s">
        <v>3</v>
      </c>
      <c r="AT28">
        <v>1E-3</v>
      </c>
      <c r="AU28" t="s">
        <v>3</v>
      </c>
      <c r="AV28">
        <v>0</v>
      </c>
      <c r="AW28">
        <v>2</v>
      </c>
      <c r="AX28">
        <v>33299893</v>
      </c>
      <c r="AY28">
        <v>1</v>
      </c>
      <c r="AZ28">
        <v>0</v>
      </c>
      <c r="BA28">
        <v>20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CX28">
        <f>Y28*Source!I78</f>
        <v>0.15</v>
      </c>
      <c r="CY28">
        <f>AA28</f>
        <v>29.98</v>
      </c>
      <c r="CZ28">
        <f>AE28</f>
        <v>29.98</v>
      </c>
      <c r="DA28">
        <f>AI28</f>
        <v>1</v>
      </c>
      <c r="DB28">
        <v>0</v>
      </c>
    </row>
    <row r="29" spans="1:106" x14ac:dyDescent="0.2">
      <c r="A29">
        <f>ROW(Source!A79)</f>
        <v>79</v>
      </c>
      <c r="B29">
        <v>33299672</v>
      </c>
      <c r="C29">
        <v>33299868</v>
      </c>
      <c r="D29">
        <v>32893498</v>
      </c>
      <c r="E29">
        <v>28875167</v>
      </c>
      <c r="F29">
        <v>1</v>
      </c>
      <c r="G29">
        <v>28875167</v>
      </c>
      <c r="H29">
        <v>1</v>
      </c>
      <c r="I29" t="s">
        <v>37</v>
      </c>
      <c r="J29" t="s">
        <v>3</v>
      </c>
      <c r="K29" t="s">
        <v>152</v>
      </c>
      <c r="L29">
        <v>1191</v>
      </c>
      <c r="N29">
        <v>1013</v>
      </c>
      <c r="O29" t="s">
        <v>39</v>
      </c>
      <c r="P29" t="s">
        <v>39</v>
      </c>
      <c r="Q29">
        <v>1</v>
      </c>
      <c r="W29">
        <v>0</v>
      </c>
      <c r="X29">
        <v>476480486</v>
      </c>
      <c r="Y29">
        <v>3.84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1</v>
      </c>
      <c r="AJ29">
        <v>1</v>
      </c>
      <c r="AK29">
        <v>1</v>
      </c>
      <c r="AL29">
        <v>1</v>
      </c>
      <c r="AN29">
        <v>0</v>
      </c>
      <c r="AO29">
        <v>1</v>
      </c>
      <c r="AP29">
        <v>0</v>
      </c>
      <c r="AQ29">
        <v>0</v>
      </c>
      <c r="AR29">
        <v>0</v>
      </c>
      <c r="AS29" t="s">
        <v>3</v>
      </c>
      <c r="AT29">
        <v>3.84</v>
      </c>
      <c r="AU29" t="s">
        <v>3</v>
      </c>
      <c r="AV29">
        <v>1</v>
      </c>
      <c r="AW29">
        <v>2</v>
      </c>
      <c r="AX29">
        <v>33299895</v>
      </c>
      <c r="AY29">
        <v>1</v>
      </c>
      <c r="AZ29">
        <v>0</v>
      </c>
      <c r="BA29">
        <v>21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CX29">
        <f>Y29*Source!I79</f>
        <v>123.91833600000001</v>
      </c>
      <c r="CY29">
        <f>AD29</f>
        <v>0</v>
      </c>
      <c r="CZ29">
        <f>AH29</f>
        <v>0</v>
      </c>
      <c r="DA29">
        <f>AL29</f>
        <v>1</v>
      </c>
      <c r="DB29">
        <v>0</v>
      </c>
    </row>
    <row r="30" spans="1:106" x14ac:dyDescent="0.2">
      <c r="A30">
        <f>ROW(Source!A79)</f>
        <v>79</v>
      </c>
      <c r="B30">
        <v>33299672</v>
      </c>
      <c r="C30">
        <v>33299868</v>
      </c>
      <c r="D30">
        <v>32904775</v>
      </c>
      <c r="E30">
        <v>1</v>
      </c>
      <c r="F30">
        <v>1</v>
      </c>
      <c r="G30">
        <v>28875167</v>
      </c>
      <c r="H30">
        <v>2</v>
      </c>
      <c r="I30" t="s">
        <v>168</v>
      </c>
      <c r="J30" t="s">
        <v>169</v>
      </c>
      <c r="K30" t="s">
        <v>170</v>
      </c>
      <c r="L30">
        <v>1368</v>
      </c>
      <c r="N30">
        <v>1011</v>
      </c>
      <c r="O30" t="s">
        <v>43</v>
      </c>
      <c r="P30" t="s">
        <v>43</v>
      </c>
      <c r="Q30">
        <v>1</v>
      </c>
      <c r="W30">
        <v>0</v>
      </c>
      <c r="X30">
        <v>999225713</v>
      </c>
      <c r="Y30">
        <v>1.92</v>
      </c>
      <c r="AA30">
        <v>0</v>
      </c>
      <c r="AB30">
        <v>763.83</v>
      </c>
      <c r="AC30">
        <v>233.79</v>
      </c>
      <c r="AD30">
        <v>0</v>
      </c>
      <c r="AE30">
        <v>0</v>
      </c>
      <c r="AF30">
        <v>763.83</v>
      </c>
      <c r="AG30">
        <v>233.79</v>
      </c>
      <c r="AH30">
        <v>0</v>
      </c>
      <c r="AI30">
        <v>1</v>
      </c>
      <c r="AJ30">
        <v>1</v>
      </c>
      <c r="AK30">
        <v>1</v>
      </c>
      <c r="AL30">
        <v>1</v>
      </c>
      <c r="AN30">
        <v>0</v>
      </c>
      <c r="AO30">
        <v>1</v>
      </c>
      <c r="AP30">
        <v>0</v>
      </c>
      <c r="AQ30">
        <v>0</v>
      </c>
      <c r="AR30">
        <v>0</v>
      </c>
      <c r="AS30" t="s">
        <v>3</v>
      </c>
      <c r="AT30">
        <v>1.92</v>
      </c>
      <c r="AU30" t="s">
        <v>3</v>
      </c>
      <c r="AV30">
        <v>0</v>
      </c>
      <c r="AW30">
        <v>2</v>
      </c>
      <c r="AX30">
        <v>33299896</v>
      </c>
      <c r="AY30">
        <v>1</v>
      </c>
      <c r="AZ30">
        <v>0</v>
      </c>
      <c r="BA30">
        <v>22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CX30">
        <f>Y30*Source!I79</f>
        <v>61.959168000000005</v>
      </c>
      <c r="CY30">
        <f>AB30</f>
        <v>763.83</v>
      </c>
      <c r="CZ30">
        <f>AF30</f>
        <v>763.83</v>
      </c>
      <c r="DA30">
        <f>AJ30</f>
        <v>1</v>
      </c>
      <c r="DB30">
        <v>0</v>
      </c>
    </row>
    <row r="31" spans="1:106" x14ac:dyDescent="0.2">
      <c r="A31">
        <f>ROW(Source!A79)</f>
        <v>79</v>
      </c>
      <c r="B31">
        <v>33299672</v>
      </c>
      <c r="C31">
        <v>33299868</v>
      </c>
      <c r="D31">
        <v>32904578</v>
      </c>
      <c r="E31">
        <v>1</v>
      </c>
      <c r="F31">
        <v>1</v>
      </c>
      <c r="G31">
        <v>28875167</v>
      </c>
      <c r="H31">
        <v>2</v>
      </c>
      <c r="I31" t="s">
        <v>171</v>
      </c>
      <c r="J31" t="s">
        <v>172</v>
      </c>
      <c r="K31" t="s">
        <v>173</v>
      </c>
      <c r="L31">
        <v>1368</v>
      </c>
      <c r="N31">
        <v>1011</v>
      </c>
      <c r="O31" t="s">
        <v>43</v>
      </c>
      <c r="P31" t="s">
        <v>43</v>
      </c>
      <c r="Q31">
        <v>1</v>
      </c>
      <c r="W31">
        <v>0</v>
      </c>
      <c r="X31">
        <v>-811494606</v>
      </c>
      <c r="Y31">
        <v>1.92</v>
      </c>
      <c r="AA31">
        <v>0</v>
      </c>
      <c r="AB31">
        <v>1635.52</v>
      </c>
      <c r="AC31">
        <v>347.42</v>
      </c>
      <c r="AD31">
        <v>0</v>
      </c>
      <c r="AE31">
        <v>0</v>
      </c>
      <c r="AF31">
        <v>1635.52</v>
      </c>
      <c r="AG31">
        <v>347.42</v>
      </c>
      <c r="AH31">
        <v>0</v>
      </c>
      <c r="AI31">
        <v>1</v>
      </c>
      <c r="AJ31">
        <v>1</v>
      </c>
      <c r="AK31">
        <v>1</v>
      </c>
      <c r="AL31">
        <v>1</v>
      </c>
      <c r="AN31">
        <v>0</v>
      </c>
      <c r="AO31">
        <v>1</v>
      </c>
      <c r="AP31">
        <v>0</v>
      </c>
      <c r="AQ31">
        <v>0</v>
      </c>
      <c r="AR31">
        <v>0</v>
      </c>
      <c r="AS31" t="s">
        <v>3</v>
      </c>
      <c r="AT31">
        <v>1.92</v>
      </c>
      <c r="AU31" t="s">
        <v>3</v>
      </c>
      <c r="AV31">
        <v>0</v>
      </c>
      <c r="AW31">
        <v>2</v>
      </c>
      <c r="AX31">
        <v>33299897</v>
      </c>
      <c r="AY31">
        <v>1</v>
      </c>
      <c r="AZ31">
        <v>0</v>
      </c>
      <c r="BA31">
        <v>23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CX31">
        <f>Y31*Source!I79</f>
        <v>61.959168000000005</v>
      </c>
      <c r="CY31">
        <f>AB31</f>
        <v>1635.52</v>
      </c>
      <c r="CZ31">
        <f>AF31</f>
        <v>1635.52</v>
      </c>
      <c r="DA31">
        <f>AJ31</f>
        <v>1</v>
      </c>
      <c r="DB31">
        <v>0</v>
      </c>
    </row>
    <row r="32" spans="1:106" x14ac:dyDescent="0.2">
      <c r="A32">
        <f>ROW(Source!A79)</f>
        <v>79</v>
      </c>
      <c r="B32">
        <v>33299672</v>
      </c>
      <c r="C32">
        <v>33299868</v>
      </c>
      <c r="D32">
        <v>32907124</v>
      </c>
      <c r="E32">
        <v>1</v>
      </c>
      <c r="F32">
        <v>1</v>
      </c>
      <c r="G32">
        <v>28875167</v>
      </c>
      <c r="H32">
        <v>3</v>
      </c>
      <c r="I32" t="s">
        <v>164</v>
      </c>
      <c r="J32" t="s">
        <v>165</v>
      </c>
      <c r="K32" t="s">
        <v>166</v>
      </c>
      <c r="L32">
        <v>1339</v>
      </c>
      <c r="N32">
        <v>1007</v>
      </c>
      <c r="O32" t="s">
        <v>167</v>
      </c>
      <c r="P32" t="s">
        <v>167</v>
      </c>
      <c r="Q32">
        <v>1</v>
      </c>
      <c r="W32">
        <v>0</v>
      </c>
      <c r="X32">
        <v>1653821073</v>
      </c>
      <c r="Y32">
        <v>0.92</v>
      </c>
      <c r="AA32">
        <v>29.98</v>
      </c>
      <c r="AB32">
        <v>0</v>
      </c>
      <c r="AC32">
        <v>0</v>
      </c>
      <c r="AD32">
        <v>0</v>
      </c>
      <c r="AE32">
        <v>29.98</v>
      </c>
      <c r="AF32">
        <v>0</v>
      </c>
      <c r="AG32">
        <v>0</v>
      </c>
      <c r="AH32">
        <v>0</v>
      </c>
      <c r="AI32">
        <v>1</v>
      </c>
      <c r="AJ32">
        <v>1</v>
      </c>
      <c r="AK32">
        <v>1</v>
      </c>
      <c r="AL32">
        <v>1</v>
      </c>
      <c r="AN32">
        <v>0</v>
      </c>
      <c r="AO32">
        <v>1</v>
      </c>
      <c r="AP32">
        <v>0</v>
      </c>
      <c r="AQ32">
        <v>0</v>
      </c>
      <c r="AR32">
        <v>0</v>
      </c>
      <c r="AS32" t="s">
        <v>3</v>
      </c>
      <c r="AT32">
        <v>0.92</v>
      </c>
      <c r="AU32" t="s">
        <v>3</v>
      </c>
      <c r="AV32">
        <v>0</v>
      </c>
      <c r="AW32">
        <v>2</v>
      </c>
      <c r="AX32">
        <v>33299898</v>
      </c>
      <c r="AY32">
        <v>1</v>
      </c>
      <c r="AZ32">
        <v>0</v>
      </c>
      <c r="BA32">
        <v>24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CX32">
        <f>Y32*Source!I79</f>
        <v>29.688768000000003</v>
      </c>
      <c r="CY32">
        <f>AA32</f>
        <v>29.98</v>
      </c>
      <c r="CZ32">
        <f>AE32</f>
        <v>29.98</v>
      </c>
      <c r="DA32">
        <f>AI32</f>
        <v>1</v>
      </c>
      <c r="DB32">
        <v>0</v>
      </c>
    </row>
    <row r="33" spans="1:106" x14ac:dyDescent="0.2">
      <c r="A33">
        <f>ROW(Source!A80)</f>
        <v>80</v>
      </c>
      <c r="B33">
        <v>33299672</v>
      </c>
      <c r="C33">
        <v>33299877</v>
      </c>
      <c r="D33">
        <v>32893498</v>
      </c>
      <c r="E33">
        <v>28875167</v>
      </c>
      <c r="F33">
        <v>1</v>
      </c>
      <c r="G33">
        <v>28875167</v>
      </c>
      <c r="H33">
        <v>1</v>
      </c>
      <c r="I33" t="s">
        <v>37</v>
      </c>
      <c r="J33" t="s">
        <v>3</v>
      </c>
      <c r="K33" t="s">
        <v>152</v>
      </c>
      <c r="L33">
        <v>1191</v>
      </c>
      <c r="N33">
        <v>1013</v>
      </c>
      <c r="O33" t="s">
        <v>39</v>
      </c>
      <c r="P33" t="s">
        <v>39</v>
      </c>
      <c r="Q33">
        <v>1</v>
      </c>
      <c r="W33">
        <v>0</v>
      </c>
      <c r="X33">
        <v>476480486</v>
      </c>
      <c r="Y33">
        <v>5.4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1</v>
      </c>
      <c r="AJ33">
        <v>1</v>
      </c>
      <c r="AK33">
        <v>1</v>
      </c>
      <c r="AL33">
        <v>1</v>
      </c>
      <c r="AN33">
        <v>0</v>
      </c>
      <c r="AO33">
        <v>1</v>
      </c>
      <c r="AP33">
        <v>0</v>
      </c>
      <c r="AQ33">
        <v>0</v>
      </c>
      <c r="AR33">
        <v>0</v>
      </c>
      <c r="AS33" t="s">
        <v>3</v>
      </c>
      <c r="AT33">
        <v>5.4</v>
      </c>
      <c r="AU33" t="s">
        <v>3</v>
      </c>
      <c r="AV33">
        <v>1</v>
      </c>
      <c r="AW33">
        <v>2</v>
      </c>
      <c r="AX33">
        <v>33299899</v>
      </c>
      <c r="AY33">
        <v>1</v>
      </c>
      <c r="AZ33">
        <v>0</v>
      </c>
      <c r="BA33">
        <v>25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CX33">
        <f>Y33*Source!I80</f>
        <v>5.4</v>
      </c>
      <c r="CY33">
        <f>AD33</f>
        <v>0</v>
      </c>
      <c r="CZ33">
        <f>AH33</f>
        <v>0</v>
      </c>
      <c r="DA33">
        <f>AL33</f>
        <v>1</v>
      </c>
      <c r="DB33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5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44" x14ac:dyDescent="0.2">
      <c r="A1">
        <f>ROW(Source!A28)</f>
        <v>28</v>
      </c>
      <c r="B1">
        <v>33299687</v>
      </c>
      <c r="C1">
        <v>33299685</v>
      </c>
      <c r="D1">
        <v>32893498</v>
      </c>
      <c r="E1">
        <v>28875167</v>
      </c>
      <c r="F1">
        <v>1</v>
      </c>
      <c r="G1">
        <v>28875167</v>
      </c>
      <c r="H1">
        <v>1</v>
      </c>
      <c r="I1" t="s">
        <v>37</v>
      </c>
      <c r="J1" t="s">
        <v>3</v>
      </c>
      <c r="K1" t="s">
        <v>152</v>
      </c>
      <c r="L1">
        <v>1191</v>
      </c>
      <c r="N1">
        <v>1013</v>
      </c>
      <c r="O1" t="s">
        <v>39</v>
      </c>
      <c r="P1" t="s">
        <v>39</v>
      </c>
      <c r="Q1">
        <v>1</v>
      </c>
      <c r="X1">
        <v>0.2</v>
      </c>
      <c r="Y1">
        <v>0</v>
      </c>
      <c r="Z1">
        <v>0</v>
      </c>
      <c r="AA1">
        <v>0</v>
      </c>
      <c r="AB1">
        <v>0</v>
      </c>
      <c r="AC1">
        <v>0</v>
      </c>
      <c r="AD1">
        <v>1</v>
      </c>
      <c r="AE1">
        <v>1</v>
      </c>
      <c r="AF1" t="s">
        <v>19</v>
      </c>
      <c r="AG1">
        <v>0.4</v>
      </c>
      <c r="AH1">
        <v>2</v>
      </c>
      <c r="AI1">
        <v>33299686</v>
      </c>
      <c r="AJ1">
        <v>1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">
      <c r="A2">
        <f>ROW(Source!A29)</f>
        <v>29</v>
      </c>
      <c r="B2">
        <v>33299690</v>
      </c>
      <c r="C2">
        <v>33299688</v>
      </c>
      <c r="D2">
        <v>32893498</v>
      </c>
      <c r="E2">
        <v>28875167</v>
      </c>
      <c r="F2">
        <v>1</v>
      </c>
      <c r="G2">
        <v>28875167</v>
      </c>
      <c r="H2">
        <v>1</v>
      </c>
      <c r="I2" t="s">
        <v>37</v>
      </c>
      <c r="J2" t="s">
        <v>3</v>
      </c>
      <c r="K2" t="s">
        <v>152</v>
      </c>
      <c r="L2">
        <v>1191</v>
      </c>
      <c r="N2">
        <v>1013</v>
      </c>
      <c r="O2" t="s">
        <v>39</v>
      </c>
      <c r="P2" t="s">
        <v>39</v>
      </c>
      <c r="Q2">
        <v>1</v>
      </c>
      <c r="X2">
        <v>0.46</v>
      </c>
      <c r="Y2">
        <v>0</v>
      </c>
      <c r="Z2">
        <v>0</v>
      </c>
      <c r="AA2">
        <v>0</v>
      </c>
      <c r="AB2">
        <v>0</v>
      </c>
      <c r="AC2">
        <v>0</v>
      </c>
      <c r="AD2">
        <v>1</v>
      </c>
      <c r="AE2">
        <v>1</v>
      </c>
      <c r="AF2" t="s">
        <v>19</v>
      </c>
      <c r="AG2">
        <v>0.92</v>
      </c>
      <c r="AH2">
        <v>2</v>
      </c>
      <c r="AI2">
        <v>33299689</v>
      </c>
      <c r="AJ2">
        <v>2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">
      <c r="A3">
        <f>ROW(Source!A30)</f>
        <v>30</v>
      </c>
      <c r="B3">
        <v>33299695</v>
      </c>
      <c r="C3">
        <v>33299691</v>
      </c>
      <c r="D3">
        <v>32893498</v>
      </c>
      <c r="E3">
        <v>28875167</v>
      </c>
      <c r="F3">
        <v>1</v>
      </c>
      <c r="G3">
        <v>28875167</v>
      </c>
      <c r="H3">
        <v>1</v>
      </c>
      <c r="I3" t="s">
        <v>37</v>
      </c>
      <c r="J3" t="s">
        <v>3</v>
      </c>
      <c r="K3" t="s">
        <v>152</v>
      </c>
      <c r="L3">
        <v>1191</v>
      </c>
      <c r="N3">
        <v>1013</v>
      </c>
      <c r="O3" t="s">
        <v>39</v>
      </c>
      <c r="P3" t="s">
        <v>39</v>
      </c>
      <c r="Q3">
        <v>1</v>
      </c>
      <c r="X3">
        <v>6.22</v>
      </c>
      <c r="Y3">
        <v>0</v>
      </c>
      <c r="Z3">
        <v>0</v>
      </c>
      <c r="AA3">
        <v>0</v>
      </c>
      <c r="AB3">
        <v>0</v>
      </c>
      <c r="AC3">
        <v>0</v>
      </c>
      <c r="AD3">
        <v>1</v>
      </c>
      <c r="AE3">
        <v>1</v>
      </c>
      <c r="AF3" t="s">
        <v>19</v>
      </c>
      <c r="AG3">
        <v>12.44</v>
      </c>
      <c r="AH3">
        <v>2</v>
      </c>
      <c r="AI3">
        <v>33299692</v>
      </c>
      <c r="AJ3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">
      <c r="A4">
        <f>ROW(Source!A30)</f>
        <v>30</v>
      </c>
      <c r="B4">
        <v>33299696</v>
      </c>
      <c r="C4">
        <v>33299691</v>
      </c>
      <c r="D4">
        <v>32904498</v>
      </c>
      <c r="E4">
        <v>1</v>
      </c>
      <c r="F4">
        <v>1</v>
      </c>
      <c r="G4">
        <v>28875167</v>
      </c>
      <c r="H4">
        <v>2</v>
      </c>
      <c r="I4" t="s">
        <v>122</v>
      </c>
      <c r="J4" t="s">
        <v>124</v>
      </c>
      <c r="K4" t="s">
        <v>153</v>
      </c>
      <c r="L4">
        <v>1368</v>
      </c>
      <c r="N4">
        <v>1011</v>
      </c>
      <c r="O4" t="s">
        <v>43</v>
      </c>
      <c r="P4" t="s">
        <v>43</v>
      </c>
      <c r="Q4">
        <v>1</v>
      </c>
      <c r="X4">
        <v>6.22</v>
      </c>
      <c r="Y4">
        <v>0</v>
      </c>
      <c r="Z4">
        <v>841.74</v>
      </c>
      <c r="AA4">
        <v>355.81</v>
      </c>
      <c r="AB4">
        <v>0</v>
      </c>
      <c r="AC4">
        <v>0</v>
      </c>
      <c r="AD4">
        <v>1</v>
      </c>
      <c r="AE4">
        <v>0</v>
      </c>
      <c r="AF4" t="s">
        <v>19</v>
      </c>
      <c r="AG4">
        <v>12.44</v>
      </c>
      <c r="AH4">
        <v>2</v>
      </c>
      <c r="AI4">
        <v>33299693</v>
      </c>
      <c r="AJ4">
        <v>4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">
      <c r="A5">
        <f>ROW(Source!A30)</f>
        <v>30</v>
      </c>
      <c r="B5">
        <v>33299697</v>
      </c>
      <c r="C5">
        <v>33299691</v>
      </c>
      <c r="D5">
        <v>32906947</v>
      </c>
      <c r="E5">
        <v>1</v>
      </c>
      <c r="F5">
        <v>1</v>
      </c>
      <c r="G5">
        <v>28875167</v>
      </c>
      <c r="H5">
        <v>3</v>
      </c>
      <c r="I5" t="s">
        <v>130</v>
      </c>
      <c r="J5" t="s">
        <v>133</v>
      </c>
      <c r="K5" t="s">
        <v>131</v>
      </c>
      <c r="L5">
        <v>1346</v>
      </c>
      <c r="N5">
        <v>1009</v>
      </c>
      <c r="O5" t="s">
        <v>132</v>
      </c>
      <c r="P5" t="s">
        <v>132</v>
      </c>
      <c r="Q5">
        <v>1</v>
      </c>
      <c r="X5">
        <v>0.01</v>
      </c>
      <c r="Y5">
        <v>28.66</v>
      </c>
      <c r="Z5">
        <v>0</v>
      </c>
      <c r="AA5">
        <v>0</v>
      </c>
      <c r="AB5">
        <v>0</v>
      </c>
      <c r="AC5">
        <v>0</v>
      </c>
      <c r="AD5">
        <v>1</v>
      </c>
      <c r="AE5">
        <v>0</v>
      </c>
      <c r="AF5" t="s">
        <v>19</v>
      </c>
      <c r="AG5">
        <v>0.02</v>
      </c>
      <c r="AH5">
        <v>2</v>
      </c>
      <c r="AI5">
        <v>33299694</v>
      </c>
      <c r="AJ5">
        <v>5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">
      <c r="A6">
        <f>ROW(Source!A68)</f>
        <v>68</v>
      </c>
      <c r="B6">
        <v>33299880</v>
      </c>
      <c r="C6">
        <v>33299821</v>
      </c>
      <c r="D6">
        <v>32893498</v>
      </c>
      <c r="E6">
        <v>28875167</v>
      </c>
      <c r="F6">
        <v>1</v>
      </c>
      <c r="G6">
        <v>28875167</v>
      </c>
      <c r="H6">
        <v>1</v>
      </c>
      <c r="I6" t="s">
        <v>37</v>
      </c>
      <c r="J6" t="s">
        <v>3</v>
      </c>
      <c r="K6" t="s">
        <v>152</v>
      </c>
      <c r="L6">
        <v>1191</v>
      </c>
      <c r="N6">
        <v>1013</v>
      </c>
      <c r="O6" t="s">
        <v>39</v>
      </c>
      <c r="P6" t="s">
        <v>39</v>
      </c>
      <c r="Q6">
        <v>1</v>
      </c>
      <c r="X6">
        <v>6</v>
      </c>
      <c r="Y6">
        <v>0</v>
      </c>
      <c r="Z6">
        <v>0</v>
      </c>
      <c r="AA6">
        <v>0</v>
      </c>
      <c r="AB6">
        <v>0</v>
      </c>
      <c r="AC6">
        <v>0</v>
      </c>
      <c r="AD6">
        <v>1</v>
      </c>
      <c r="AE6">
        <v>1</v>
      </c>
      <c r="AF6" t="s">
        <v>3</v>
      </c>
      <c r="AG6">
        <v>6</v>
      </c>
      <c r="AH6">
        <v>2</v>
      </c>
      <c r="AI6">
        <v>33299880</v>
      </c>
      <c r="AJ6">
        <v>8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">
      <c r="A7">
        <f>ROW(Source!A68)</f>
        <v>68</v>
      </c>
      <c r="B7">
        <v>33299882</v>
      </c>
      <c r="C7">
        <v>33299821</v>
      </c>
      <c r="D7">
        <v>32906950</v>
      </c>
      <c r="E7">
        <v>1</v>
      </c>
      <c r="F7">
        <v>1</v>
      </c>
      <c r="G7">
        <v>28875167</v>
      </c>
      <c r="H7">
        <v>3</v>
      </c>
      <c r="I7" t="s">
        <v>154</v>
      </c>
      <c r="J7" t="s">
        <v>155</v>
      </c>
      <c r="K7" t="s">
        <v>156</v>
      </c>
      <c r="L7">
        <v>1346</v>
      </c>
      <c r="N7">
        <v>1009</v>
      </c>
      <c r="O7" t="s">
        <v>132</v>
      </c>
      <c r="P7" t="s">
        <v>132</v>
      </c>
      <c r="Q7">
        <v>1</v>
      </c>
      <c r="X7">
        <v>0.12</v>
      </c>
      <c r="Y7">
        <v>135.63</v>
      </c>
      <c r="Z7">
        <v>0</v>
      </c>
      <c r="AA7">
        <v>0</v>
      </c>
      <c r="AB7">
        <v>0</v>
      </c>
      <c r="AC7">
        <v>0</v>
      </c>
      <c r="AD7">
        <v>1</v>
      </c>
      <c r="AE7">
        <v>0</v>
      </c>
      <c r="AF7" t="s">
        <v>3</v>
      </c>
      <c r="AG7">
        <v>0.12</v>
      </c>
      <c r="AH7">
        <v>2</v>
      </c>
      <c r="AI7">
        <v>33299882</v>
      </c>
      <c r="AJ7">
        <v>9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 x14ac:dyDescent="0.2">
      <c r="A8">
        <f>ROW(Source!A68)</f>
        <v>68</v>
      </c>
      <c r="B8">
        <v>33299883</v>
      </c>
      <c r="C8">
        <v>33299821</v>
      </c>
      <c r="D8">
        <v>32906947</v>
      </c>
      <c r="E8">
        <v>1</v>
      </c>
      <c r="F8">
        <v>1</v>
      </c>
      <c r="G8">
        <v>28875167</v>
      </c>
      <c r="H8">
        <v>3</v>
      </c>
      <c r="I8" t="s">
        <v>130</v>
      </c>
      <c r="J8" t="s">
        <v>133</v>
      </c>
      <c r="K8" t="s">
        <v>131</v>
      </c>
      <c r="L8">
        <v>1346</v>
      </c>
      <c r="N8">
        <v>1009</v>
      </c>
      <c r="O8" t="s">
        <v>132</v>
      </c>
      <c r="P8" t="s">
        <v>132</v>
      </c>
      <c r="Q8">
        <v>1</v>
      </c>
      <c r="X8">
        <v>0.04</v>
      </c>
      <c r="Y8">
        <v>28.66</v>
      </c>
      <c r="Z8">
        <v>0</v>
      </c>
      <c r="AA8">
        <v>0</v>
      </c>
      <c r="AB8">
        <v>0</v>
      </c>
      <c r="AC8">
        <v>0</v>
      </c>
      <c r="AD8">
        <v>1</v>
      </c>
      <c r="AE8">
        <v>0</v>
      </c>
      <c r="AF8" t="s">
        <v>3</v>
      </c>
      <c r="AG8">
        <v>0.04</v>
      </c>
      <c r="AH8">
        <v>2</v>
      </c>
      <c r="AI8">
        <v>33299883</v>
      </c>
      <c r="AJ8">
        <v>10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 x14ac:dyDescent="0.2">
      <c r="A9">
        <f>ROW(Source!A68)</f>
        <v>68</v>
      </c>
      <c r="B9">
        <v>33299881</v>
      </c>
      <c r="C9">
        <v>33299821</v>
      </c>
      <c r="D9">
        <v>32895014</v>
      </c>
      <c r="E9">
        <v>28875167</v>
      </c>
      <c r="F9">
        <v>1</v>
      </c>
      <c r="G9">
        <v>28875167</v>
      </c>
      <c r="H9">
        <v>3</v>
      </c>
      <c r="I9" t="s">
        <v>157</v>
      </c>
      <c r="J9" t="s">
        <v>3</v>
      </c>
      <c r="K9" t="s">
        <v>158</v>
      </c>
      <c r="L9">
        <v>1346</v>
      </c>
      <c r="N9">
        <v>1009</v>
      </c>
      <c r="O9" t="s">
        <v>132</v>
      </c>
      <c r="P9" t="s">
        <v>132</v>
      </c>
      <c r="Q9">
        <v>1</v>
      </c>
      <c r="X9">
        <v>0.04</v>
      </c>
      <c r="Y9">
        <v>46.82826</v>
      </c>
      <c r="Z9">
        <v>0</v>
      </c>
      <c r="AA9">
        <v>0</v>
      </c>
      <c r="AB9">
        <v>0</v>
      </c>
      <c r="AC9">
        <v>0</v>
      </c>
      <c r="AD9">
        <v>1</v>
      </c>
      <c r="AE9">
        <v>0</v>
      </c>
      <c r="AF9" t="s">
        <v>3</v>
      </c>
      <c r="AG9">
        <v>0.04</v>
      </c>
      <c r="AH9">
        <v>2</v>
      </c>
      <c r="AI9">
        <v>33299881</v>
      </c>
      <c r="AJ9">
        <v>11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 x14ac:dyDescent="0.2">
      <c r="A10">
        <f>ROW(Source!A68)</f>
        <v>68</v>
      </c>
      <c r="B10">
        <v>33299884</v>
      </c>
      <c r="C10">
        <v>33299821</v>
      </c>
      <c r="D10">
        <v>32905692</v>
      </c>
      <c r="E10">
        <v>1</v>
      </c>
      <c r="F10">
        <v>1</v>
      </c>
      <c r="G10">
        <v>28875167</v>
      </c>
      <c r="H10">
        <v>3</v>
      </c>
      <c r="I10" t="s">
        <v>159</v>
      </c>
      <c r="J10" t="s">
        <v>160</v>
      </c>
      <c r="K10" t="s">
        <v>161</v>
      </c>
      <c r="L10">
        <v>1346</v>
      </c>
      <c r="N10">
        <v>1009</v>
      </c>
      <c r="O10" t="s">
        <v>132</v>
      </c>
      <c r="P10" t="s">
        <v>132</v>
      </c>
      <c r="Q10">
        <v>1</v>
      </c>
      <c r="X10">
        <v>0.02</v>
      </c>
      <c r="Y10">
        <v>89.4</v>
      </c>
      <c r="Z10">
        <v>0</v>
      </c>
      <c r="AA10">
        <v>0</v>
      </c>
      <c r="AB10">
        <v>0</v>
      </c>
      <c r="AC10">
        <v>0</v>
      </c>
      <c r="AD10">
        <v>1</v>
      </c>
      <c r="AE10">
        <v>0</v>
      </c>
      <c r="AF10" t="s">
        <v>3</v>
      </c>
      <c r="AG10">
        <v>0.02</v>
      </c>
      <c r="AH10">
        <v>2</v>
      </c>
      <c r="AI10">
        <v>33299884</v>
      </c>
      <c r="AJ10">
        <v>12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 x14ac:dyDescent="0.2">
      <c r="A11">
        <f>ROW(Source!A69)</f>
        <v>69</v>
      </c>
      <c r="B11">
        <v>33299885</v>
      </c>
      <c r="C11">
        <v>33299832</v>
      </c>
      <c r="D11">
        <v>32893498</v>
      </c>
      <c r="E11">
        <v>28875167</v>
      </c>
      <c r="F11">
        <v>1</v>
      </c>
      <c r="G11">
        <v>28875167</v>
      </c>
      <c r="H11">
        <v>1</v>
      </c>
      <c r="I11" t="s">
        <v>37</v>
      </c>
      <c r="J11" t="s">
        <v>3</v>
      </c>
      <c r="K11" t="s">
        <v>152</v>
      </c>
      <c r="L11">
        <v>1191</v>
      </c>
      <c r="N11">
        <v>1013</v>
      </c>
      <c r="O11" t="s">
        <v>39</v>
      </c>
      <c r="P11" t="s">
        <v>39</v>
      </c>
      <c r="Q11">
        <v>1</v>
      </c>
      <c r="X11">
        <v>13.8</v>
      </c>
      <c r="Y11">
        <v>0</v>
      </c>
      <c r="Z11">
        <v>0</v>
      </c>
      <c r="AA11">
        <v>0</v>
      </c>
      <c r="AB11">
        <v>0</v>
      </c>
      <c r="AC11">
        <v>0</v>
      </c>
      <c r="AD11">
        <v>1</v>
      </c>
      <c r="AE11">
        <v>1</v>
      </c>
      <c r="AF11" t="s">
        <v>3</v>
      </c>
      <c r="AG11">
        <v>13.8</v>
      </c>
      <c r="AH11">
        <v>2</v>
      </c>
      <c r="AI11">
        <v>33299885</v>
      </c>
      <c r="AJ11">
        <v>13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 x14ac:dyDescent="0.2">
      <c r="A12">
        <f>ROW(Source!A69)</f>
        <v>69</v>
      </c>
      <c r="B12">
        <v>33299886</v>
      </c>
      <c r="C12">
        <v>33299832</v>
      </c>
      <c r="D12">
        <v>32906950</v>
      </c>
      <c r="E12">
        <v>1</v>
      </c>
      <c r="F12">
        <v>1</v>
      </c>
      <c r="G12">
        <v>28875167</v>
      </c>
      <c r="H12">
        <v>3</v>
      </c>
      <c r="I12" t="s">
        <v>154</v>
      </c>
      <c r="J12" t="s">
        <v>155</v>
      </c>
      <c r="K12" t="s">
        <v>156</v>
      </c>
      <c r="L12">
        <v>1346</v>
      </c>
      <c r="N12">
        <v>1009</v>
      </c>
      <c r="O12" t="s">
        <v>132</v>
      </c>
      <c r="P12" t="s">
        <v>132</v>
      </c>
      <c r="Q12">
        <v>1</v>
      </c>
      <c r="X12">
        <v>0.06</v>
      </c>
      <c r="Y12">
        <v>135.63</v>
      </c>
      <c r="Z12">
        <v>0</v>
      </c>
      <c r="AA12">
        <v>0</v>
      </c>
      <c r="AB12">
        <v>0</v>
      </c>
      <c r="AC12">
        <v>0</v>
      </c>
      <c r="AD12">
        <v>1</v>
      </c>
      <c r="AE12">
        <v>0</v>
      </c>
      <c r="AF12" t="s">
        <v>3</v>
      </c>
      <c r="AG12">
        <v>0.06</v>
      </c>
      <c r="AH12">
        <v>2</v>
      </c>
      <c r="AI12">
        <v>33299886</v>
      </c>
      <c r="AJ12">
        <v>14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 x14ac:dyDescent="0.2">
      <c r="A13">
        <f>ROW(Source!A70)</f>
        <v>70</v>
      </c>
      <c r="B13">
        <v>33299887</v>
      </c>
      <c r="C13">
        <v>33299837</v>
      </c>
      <c r="D13">
        <v>32893498</v>
      </c>
      <c r="E13">
        <v>28875167</v>
      </c>
      <c r="F13">
        <v>1</v>
      </c>
      <c r="G13">
        <v>28875167</v>
      </c>
      <c r="H13">
        <v>1</v>
      </c>
      <c r="I13" t="s">
        <v>37</v>
      </c>
      <c r="J13" t="s">
        <v>3</v>
      </c>
      <c r="K13" t="s">
        <v>152</v>
      </c>
      <c r="L13">
        <v>1191</v>
      </c>
      <c r="N13">
        <v>1013</v>
      </c>
      <c r="O13" t="s">
        <v>39</v>
      </c>
      <c r="P13" t="s">
        <v>39</v>
      </c>
      <c r="Q13">
        <v>1</v>
      </c>
      <c r="X13">
        <v>10.06</v>
      </c>
      <c r="Y13">
        <v>0</v>
      </c>
      <c r="Z13">
        <v>0</v>
      </c>
      <c r="AA13">
        <v>0</v>
      </c>
      <c r="AB13">
        <v>0</v>
      </c>
      <c r="AC13">
        <v>0</v>
      </c>
      <c r="AD13">
        <v>1</v>
      </c>
      <c r="AE13">
        <v>1</v>
      </c>
      <c r="AF13" t="s">
        <v>3</v>
      </c>
      <c r="AG13">
        <v>10.06</v>
      </c>
      <c r="AH13">
        <v>2</v>
      </c>
      <c r="AI13">
        <v>33299887</v>
      </c>
      <c r="AJ13">
        <v>15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 x14ac:dyDescent="0.2">
      <c r="A14">
        <f>ROW(Source!A70)</f>
        <v>70</v>
      </c>
      <c r="B14">
        <v>33299888</v>
      </c>
      <c r="C14">
        <v>33299837</v>
      </c>
      <c r="D14">
        <v>32904498</v>
      </c>
      <c r="E14">
        <v>1</v>
      </c>
      <c r="F14">
        <v>1</v>
      </c>
      <c r="G14">
        <v>28875167</v>
      </c>
      <c r="H14">
        <v>2</v>
      </c>
      <c r="I14" t="s">
        <v>122</v>
      </c>
      <c r="J14" t="s">
        <v>124</v>
      </c>
      <c r="K14" t="s">
        <v>153</v>
      </c>
      <c r="L14">
        <v>1368</v>
      </c>
      <c r="N14">
        <v>1011</v>
      </c>
      <c r="O14" t="s">
        <v>43</v>
      </c>
      <c r="P14" t="s">
        <v>43</v>
      </c>
      <c r="Q14">
        <v>1</v>
      </c>
      <c r="X14">
        <v>10.06</v>
      </c>
      <c r="Y14">
        <v>0</v>
      </c>
      <c r="Z14">
        <v>841.74</v>
      </c>
      <c r="AA14">
        <v>355.81</v>
      </c>
      <c r="AB14">
        <v>0</v>
      </c>
      <c r="AC14">
        <v>0</v>
      </c>
      <c r="AD14">
        <v>1</v>
      </c>
      <c r="AE14">
        <v>0</v>
      </c>
      <c r="AF14" t="s">
        <v>3</v>
      </c>
      <c r="AG14">
        <v>10.06</v>
      </c>
      <c r="AH14">
        <v>2</v>
      </c>
      <c r="AI14">
        <v>33299888</v>
      </c>
      <c r="AJ14">
        <v>16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 x14ac:dyDescent="0.2">
      <c r="A15">
        <f>ROW(Source!A70)</f>
        <v>70</v>
      </c>
      <c r="B15">
        <v>33299889</v>
      </c>
      <c r="C15">
        <v>33299837</v>
      </c>
      <c r="D15">
        <v>32906950</v>
      </c>
      <c r="E15">
        <v>1</v>
      </c>
      <c r="F15">
        <v>1</v>
      </c>
      <c r="G15">
        <v>28875167</v>
      </c>
      <c r="H15">
        <v>3</v>
      </c>
      <c r="I15" t="s">
        <v>154</v>
      </c>
      <c r="J15" t="s">
        <v>155</v>
      </c>
      <c r="K15" t="s">
        <v>156</v>
      </c>
      <c r="L15">
        <v>1346</v>
      </c>
      <c r="N15">
        <v>1009</v>
      </c>
      <c r="O15" t="s">
        <v>132</v>
      </c>
      <c r="P15" t="s">
        <v>132</v>
      </c>
      <c r="Q15">
        <v>1</v>
      </c>
      <c r="X15">
        <v>0.05</v>
      </c>
      <c r="Y15">
        <v>135.63</v>
      </c>
      <c r="Z15">
        <v>0</v>
      </c>
      <c r="AA15">
        <v>0</v>
      </c>
      <c r="AB15">
        <v>0</v>
      </c>
      <c r="AC15">
        <v>0</v>
      </c>
      <c r="AD15">
        <v>1</v>
      </c>
      <c r="AE15">
        <v>0</v>
      </c>
      <c r="AF15" t="s">
        <v>3</v>
      </c>
      <c r="AG15">
        <v>0.05</v>
      </c>
      <c r="AH15">
        <v>2</v>
      </c>
      <c r="AI15">
        <v>33299889</v>
      </c>
      <c r="AJ15">
        <v>17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 x14ac:dyDescent="0.2">
      <c r="A16">
        <f>ROW(Source!A70)</f>
        <v>70</v>
      </c>
      <c r="B16">
        <v>33299890</v>
      </c>
      <c r="C16">
        <v>33299837</v>
      </c>
      <c r="D16">
        <v>32906947</v>
      </c>
      <c r="E16">
        <v>1</v>
      </c>
      <c r="F16">
        <v>1</v>
      </c>
      <c r="G16">
        <v>28875167</v>
      </c>
      <c r="H16">
        <v>3</v>
      </c>
      <c r="I16" t="s">
        <v>130</v>
      </c>
      <c r="J16" t="s">
        <v>133</v>
      </c>
      <c r="K16" t="s">
        <v>131</v>
      </c>
      <c r="L16">
        <v>1346</v>
      </c>
      <c r="N16">
        <v>1009</v>
      </c>
      <c r="O16" t="s">
        <v>132</v>
      </c>
      <c r="P16" t="s">
        <v>132</v>
      </c>
      <c r="Q16">
        <v>1</v>
      </c>
      <c r="X16">
        <v>7.0000000000000007E-2</v>
      </c>
      <c r="Y16">
        <v>28.66</v>
      </c>
      <c r="Z16">
        <v>0</v>
      </c>
      <c r="AA16">
        <v>0</v>
      </c>
      <c r="AB16">
        <v>0</v>
      </c>
      <c r="AC16">
        <v>0</v>
      </c>
      <c r="AD16">
        <v>1</v>
      </c>
      <c r="AE16">
        <v>0</v>
      </c>
      <c r="AF16" t="s">
        <v>3</v>
      </c>
      <c r="AG16">
        <v>7.0000000000000007E-2</v>
      </c>
      <c r="AH16">
        <v>2</v>
      </c>
      <c r="AI16">
        <v>33299890</v>
      </c>
      <c r="AJ16">
        <v>18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 x14ac:dyDescent="0.2">
      <c r="A17">
        <f>ROW(Source!A78)</f>
        <v>78</v>
      </c>
      <c r="B17">
        <v>33299891</v>
      </c>
      <c r="C17">
        <v>33299859</v>
      </c>
      <c r="D17">
        <v>32893498</v>
      </c>
      <c r="E17">
        <v>28875167</v>
      </c>
      <c r="F17">
        <v>1</v>
      </c>
      <c r="G17">
        <v>28875167</v>
      </c>
      <c r="H17">
        <v>1</v>
      </c>
      <c r="I17" t="s">
        <v>37</v>
      </c>
      <c r="J17" t="s">
        <v>3</v>
      </c>
      <c r="K17" t="s">
        <v>152</v>
      </c>
      <c r="L17">
        <v>1191</v>
      </c>
      <c r="N17">
        <v>1013</v>
      </c>
      <c r="O17" t="s">
        <v>39</v>
      </c>
      <c r="P17" t="s">
        <v>39</v>
      </c>
      <c r="Q17">
        <v>1</v>
      </c>
      <c r="X17">
        <v>4.32</v>
      </c>
      <c r="Y17">
        <v>0</v>
      </c>
      <c r="Z17">
        <v>0</v>
      </c>
      <c r="AA17">
        <v>0</v>
      </c>
      <c r="AB17">
        <v>0</v>
      </c>
      <c r="AC17">
        <v>0</v>
      </c>
      <c r="AD17">
        <v>1</v>
      </c>
      <c r="AE17">
        <v>1</v>
      </c>
      <c r="AF17" t="s">
        <v>3</v>
      </c>
      <c r="AG17">
        <v>4.32</v>
      </c>
      <c r="AH17">
        <v>2</v>
      </c>
      <c r="AI17">
        <v>33299891</v>
      </c>
      <c r="AJ17">
        <v>25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 x14ac:dyDescent="0.2">
      <c r="A18">
        <f>ROW(Source!A78)</f>
        <v>78</v>
      </c>
      <c r="B18">
        <v>33299894</v>
      </c>
      <c r="C18">
        <v>33299859</v>
      </c>
      <c r="D18">
        <v>32895092</v>
      </c>
      <c r="E18">
        <v>28875167</v>
      </c>
      <c r="F18">
        <v>1</v>
      </c>
      <c r="G18">
        <v>28875167</v>
      </c>
      <c r="H18">
        <v>3</v>
      </c>
      <c r="I18" t="s">
        <v>162</v>
      </c>
      <c r="J18" t="s">
        <v>3</v>
      </c>
      <c r="K18" t="s">
        <v>163</v>
      </c>
      <c r="L18">
        <v>1346</v>
      </c>
      <c r="N18">
        <v>1009</v>
      </c>
      <c r="O18" t="s">
        <v>132</v>
      </c>
      <c r="P18" t="s">
        <v>132</v>
      </c>
      <c r="Q18">
        <v>1</v>
      </c>
      <c r="X18">
        <v>0.05</v>
      </c>
      <c r="Y18">
        <v>62.4298</v>
      </c>
      <c r="Z18">
        <v>0</v>
      </c>
      <c r="AA18">
        <v>0</v>
      </c>
      <c r="AB18">
        <v>0</v>
      </c>
      <c r="AC18">
        <v>0</v>
      </c>
      <c r="AD18">
        <v>1</v>
      </c>
      <c r="AE18">
        <v>0</v>
      </c>
      <c r="AF18" t="s">
        <v>3</v>
      </c>
      <c r="AG18">
        <v>0.05</v>
      </c>
      <c r="AH18">
        <v>2</v>
      </c>
      <c r="AI18">
        <v>33299894</v>
      </c>
      <c r="AJ18">
        <v>26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 x14ac:dyDescent="0.2">
      <c r="A19">
        <f>ROW(Source!A78)</f>
        <v>78</v>
      </c>
      <c r="B19">
        <v>33299892</v>
      </c>
      <c r="C19">
        <v>33299859</v>
      </c>
      <c r="D19">
        <v>32906947</v>
      </c>
      <c r="E19">
        <v>1</v>
      </c>
      <c r="F19">
        <v>1</v>
      </c>
      <c r="G19">
        <v>28875167</v>
      </c>
      <c r="H19">
        <v>3</v>
      </c>
      <c r="I19" t="s">
        <v>130</v>
      </c>
      <c r="J19" t="s">
        <v>133</v>
      </c>
      <c r="K19" t="s">
        <v>131</v>
      </c>
      <c r="L19">
        <v>1346</v>
      </c>
      <c r="N19">
        <v>1009</v>
      </c>
      <c r="O19" t="s">
        <v>132</v>
      </c>
      <c r="P19" t="s">
        <v>132</v>
      </c>
      <c r="Q19">
        <v>1</v>
      </c>
      <c r="X19">
        <v>0.1</v>
      </c>
      <c r="Y19">
        <v>28.66</v>
      </c>
      <c r="Z19">
        <v>0</v>
      </c>
      <c r="AA19">
        <v>0</v>
      </c>
      <c r="AB19">
        <v>0</v>
      </c>
      <c r="AC19">
        <v>0</v>
      </c>
      <c r="AD19">
        <v>1</v>
      </c>
      <c r="AE19">
        <v>0</v>
      </c>
      <c r="AF19" t="s">
        <v>3</v>
      </c>
      <c r="AG19">
        <v>0.1</v>
      </c>
      <c r="AH19">
        <v>2</v>
      </c>
      <c r="AI19">
        <v>33299892</v>
      </c>
      <c r="AJ19">
        <v>27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 x14ac:dyDescent="0.2">
      <c r="A20">
        <f>ROW(Source!A78)</f>
        <v>78</v>
      </c>
      <c r="B20">
        <v>33299893</v>
      </c>
      <c r="C20">
        <v>33299859</v>
      </c>
      <c r="D20">
        <v>32907124</v>
      </c>
      <c r="E20">
        <v>1</v>
      </c>
      <c r="F20">
        <v>1</v>
      </c>
      <c r="G20">
        <v>28875167</v>
      </c>
      <c r="H20">
        <v>3</v>
      </c>
      <c r="I20" t="s">
        <v>164</v>
      </c>
      <c r="J20" t="s">
        <v>165</v>
      </c>
      <c r="K20" t="s">
        <v>166</v>
      </c>
      <c r="L20">
        <v>1339</v>
      </c>
      <c r="N20">
        <v>1007</v>
      </c>
      <c r="O20" t="s">
        <v>167</v>
      </c>
      <c r="P20" t="s">
        <v>167</v>
      </c>
      <c r="Q20">
        <v>1</v>
      </c>
      <c r="X20">
        <v>1E-3</v>
      </c>
      <c r="Y20">
        <v>29.98</v>
      </c>
      <c r="Z20">
        <v>0</v>
      </c>
      <c r="AA20">
        <v>0</v>
      </c>
      <c r="AB20">
        <v>0</v>
      </c>
      <c r="AC20">
        <v>0</v>
      </c>
      <c r="AD20">
        <v>1</v>
      </c>
      <c r="AE20">
        <v>0</v>
      </c>
      <c r="AF20" t="s">
        <v>3</v>
      </c>
      <c r="AG20">
        <v>1E-3</v>
      </c>
      <c r="AH20">
        <v>2</v>
      </c>
      <c r="AI20">
        <v>33299893</v>
      </c>
      <c r="AJ20">
        <v>28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 x14ac:dyDescent="0.2">
      <c r="A21">
        <f>ROW(Source!A79)</f>
        <v>79</v>
      </c>
      <c r="B21">
        <v>33299895</v>
      </c>
      <c r="C21">
        <v>33299868</v>
      </c>
      <c r="D21">
        <v>32893498</v>
      </c>
      <c r="E21">
        <v>28875167</v>
      </c>
      <c r="F21">
        <v>1</v>
      </c>
      <c r="G21">
        <v>28875167</v>
      </c>
      <c r="H21">
        <v>1</v>
      </c>
      <c r="I21" t="s">
        <v>37</v>
      </c>
      <c r="J21" t="s">
        <v>3</v>
      </c>
      <c r="K21" t="s">
        <v>152</v>
      </c>
      <c r="L21">
        <v>1191</v>
      </c>
      <c r="N21">
        <v>1013</v>
      </c>
      <c r="O21" t="s">
        <v>39</v>
      </c>
      <c r="P21" t="s">
        <v>39</v>
      </c>
      <c r="Q21">
        <v>1</v>
      </c>
      <c r="X21">
        <v>3.84</v>
      </c>
      <c r="Y21">
        <v>0</v>
      </c>
      <c r="Z21">
        <v>0</v>
      </c>
      <c r="AA21">
        <v>0</v>
      </c>
      <c r="AB21">
        <v>0</v>
      </c>
      <c r="AC21">
        <v>0</v>
      </c>
      <c r="AD21">
        <v>1</v>
      </c>
      <c r="AE21">
        <v>1</v>
      </c>
      <c r="AF21" t="s">
        <v>3</v>
      </c>
      <c r="AG21">
        <v>3.84</v>
      </c>
      <c r="AH21">
        <v>2</v>
      </c>
      <c r="AI21">
        <v>33299895</v>
      </c>
      <c r="AJ21">
        <v>29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 x14ac:dyDescent="0.2">
      <c r="A22">
        <f>ROW(Source!A79)</f>
        <v>79</v>
      </c>
      <c r="B22">
        <v>33299896</v>
      </c>
      <c r="C22">
        <v>33299868</v>
      </c>
      <c r="D22">
        <v>32904775</v>
      </c>
      <c r="E22">
        <v>1</v>
      </c>
      <c r="F22">
        <v>1</v>
      </c>
      <c r="G22">
        <v>28875167</v>
      </c>
      <c r="H22">
        <v>2</v>
      </c>
      <c r="I22" t="s">
        <v>168</v>
      </c>
      <c r="J22" t="s">
        <v>169</v>
      </c>
      <c r="K22" t="s">
        <v>170</v>
      </c>
      <c r="L22">
        <v>1368</v>
      </c>
      <c r="N22">
        <v>1011</v>
      </c>
      <c r="O22" t="s">
        <v>43</v>
      </c>
      <c r="P22" t="s">
        <v>43</v>
      </c>
      <c r="Q22">
        <v>1</v>
      </c>
      <c r="X22">
        <v>1.92</v>
      </c>
      <c r="Y22">
        <v>0</v>
      </c>
      <c r="Z22">
        <v>763.83</v>
      </c>
      <c r="AA22">
        <v>233.79</v>
      </c>
      <c r="AB22">
        <v>0</v>
      </c>
      <c r="AC22">
        <v>0</v>
      </c>
      <c r="AD22">
        <v>1</v>
      </c>
      <c r="AE22">
        <v>0</v>
      </c>
      <c r="AF22" t="s">
        <v>3</v>
      </c>
      <c r="AG22">
        <v>1.92</v>
      </c>
      <c r="AH22">
        <v>2</v>
      </c>
      <c r="AI22">
        <v>33299896</v>
      </c>
      <c r="AJ22">
        <v>30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 x14ac:dyDescent="0.2">
      <c r="A23">
        <f>ROW(Source!A79)</f>
        <v>79</v>
      </c>
      <c r="B23">
        <v>33299897</v>
      </c>
      <c r="C23">
        <v>33299868</v>
      </c>
      <c r="D23">
        <v>32904578</v>
      </c>
      <c r="E23">
        <v>1</v>
      </c>
      <c r="F23">
        <v>1</v>
      </c>
      <c r="G23">
        <v>28875167</v>
      </c>
      <c r="H23">
        <v>2</v>
      </c>
      <c r="I23" t="s">
        <v>171</v>
      </c>
      <c r="J23" t="s">
        <v>172</v>
      </c>
      <c r="K23" t="s">
        <v>173</v>
      </c>
      <c r="L23">
        <v>1368</v>
      </c>
      <c r="N23">
        <v>1011</v>
      </c>
      <c r="O23" t="s">
        <v>43</v>
      </c>
      <c r="P23" t="s">
        <v>43</v>
      </c>
      <c r="Q23">
        <v>1</v>
      </c>
      <c r="X23">
        <v>1.92</v>
      </c>
      <c r="Y23">
        <v>0</v>
      </c>
      <c r="Z23">
        <v>1635.52</v>
      </c>
      <c r="AA23">
        <v>347.42</v>
      </c>
      <c r="AB23">
        <v>0</v>
      </c>
      <c r="AC23">
        <v>0</v>
      </c>
      <c r="AD23">
        <v>1</v>
      </c>
      <c r="AE23">
        <v>0</v>
      </c>
      <c r="AF23" t="s">
        <v>3</v>
      </c>
      <c r="AG23">
        <v>1.92</v>
      </c>
      <c r="AH23">
        <v>2</v>
      </c>
      <c r="AI23">
        <v>33299897</v>
      </c>
      <c r="AJ23">
        <v>31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 x14ac:dyDescent="0.2">
      <c r="A24">
        <f>ROW(Source!A79)</f>
        <v>79</v>
      </c>
      <c r="B24">
        <v>33299898</v>
      </c>
      <c r="C24">
        <v>33299868</v>
      </c>
      <c r="D24">
        <v>32907124</v>
      </c>
      <c r="E24">
        <v>1</v>
      </c>
      <c r="F24">
        <v>1</v>
      </c>
      <c r="G24">
        <v>28875167</v>
      </c>
      <c r="H24">
        <v>3</v>
      </c>
      <c r="I24" t="s">
        <v>164</v>
      </c>
      <c r="J24" t="s">
        <v>165</v>
      </c>
      <c r="K24" t="s">
        <v>166</v>
      </c>
      <c r="L24">
        <v>1339</v>
      </c>
      <c r="N24">
        <v>1007</v>
      </c>
      <c r="O24" t="s">
        <v>167</v>
      </c>
      <c r="P24" t="s">
        <v>167</v>
      </c>
      <c r="Q24">
        <v>1</v>
      </c>
      <c r="X24">
        <v>0.92</v>
      </c>
      <c r="Y24">
        <v>29.98</v>
      </c>
      <c r="Z24">
        <v>0</v>
      </c>
      <c r="AA24">
        <v>0</v>
      </c>
      <c r="AB24">
        <v>0</v>
      </c>
      <c r="AC24">
        <v>0</v>
      </c>
      <c r="AD24">
        <v>1</v>
      </c>
      <c r="AE24">
        <v>0</v>
      </c>
      <c r="AF24" t="s">
        <v>3</v>
      </c>
      <c r="AG24">
        <v>0.92</v>
      </c>
      <c r="AH24">
        <v>2</v>
      </c>
      <c r="AI24">
        <v>33299898</v>
      </c>
      <c r="AJ24">
        <v>32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 x14ac:dyDescent="0.2">
      <c r="A25">
        <f>ROW(Source!A80)</f>
        <v>80</v>
      </c>
      <c r="B25">
        <v>33299899</v>
      </c>
      <c r="C25">
        <v>33299877</v>
      </c>
      <c r="D25">
        <v>32893498</v>
      </c>
      <c r="E25">
        <v>28875167</v>
      </c>
      <c r="F25">
        <v>1</v>
      </c>
      <c r="G25">
        <v>28875167</v>
      </c>
      <c r="H25">
        <v>1</v>
      </c>
      <c r="I25" t="s">
        <v>37</v>
      </c>
      <c r="J25" t="s">
        <v>3</v>
      </c>
      <c r="K25" t="s">
        <v>152</v>
      </c>
      <c r="L25">
        <v>1191</v>
      </c>
      <c r="N25">
        <v>1013</v>
      </c>
      <c r="O25" t="s">
        <v>39</v>
      </c>
      <c r="P25" t="s">
        <v>39</v>
      </c>
      <c r="Q25">
        <v>1</v>
      </c>
      <c r="X25">
        <v>5.4</v>
      </c>
      <c r="Y25">
        <v>0</v>
      </c>
      <c r="Z25">
        <v>0</v>
      </c>
      <c r="AA25">
        <v>0</v>
      </c>
      <c r="AB25">
        <v>0</v>
      </c>
      <c r="AC25">
        <v>0</v>
      </c>
      <c r="AD25">
        <v>1</v>
      </c>
      <c r="AE25">
        <v>1</v>
      </c>
      <c r="AF25" t="s">
        <v>3</v>
      </c>
      <c r="AG25">
        <v>5.4</v>
      </c>
      <c r="AH25">
        <v>2</v>
      </c>
      <c r="AI25">
        <v>33299899</v>
      </c>
      <c r="AJ25">
        <v>33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Смета СН-2012 по гл. 1-5</vt:lpstr>
      <vt:lpstr>Source</vt:lpstr>
      <vt:lpstr>SourceObSm</vt:lpstr>
      <vt:lpstr>SmtRes</vt:lpstr>
      <vt:lpstr>EtalonRes</vt:lpstr>
      <vt:lpstr>'Смета СН-2012 по гл. 1-5'!Заголовки_для_печати</vt:lpstr>
      <vt:lpstr>'Смета СН-2012 по гл. 1-5'!Область_печати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Ashchepkova Tatyana</dc:creator>
  <cp:lastModifiedBy>Sokolova Maria</cp:lastModifiedBy>
  <cp:lastPrinted>2017-11-27T11:51:53Z</cp:lastPrinted>
  <dcterms:created xsi:type="dcterms:W3CDTF">2017-11-24T10:15:05Z</dcterms:created>
  <dcterms:modified xsi:type="dcterms:W3CDTF">2018-01-18T06:58:28Z</dcterms:modified>
</cp:coreProperties>
</file>